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1595" windowHeight="6150" tabRatio="816" activeTab="1"/>
  </bookViews>
  <sheets>
    <sheet name="Aggregierung" sheetId="1" r:id="rId1"/>
    <sheet name="Zusammenzug pro Versicherer" sheetId="2" r:id="rId2"/>
    <sheet name="Allianz Suisse" sheetId="3" r:id="rId3"/>
    <sheet name="Basler" sheetId="4" r:id="rId4"/>
    <sheet name="Generali" sheetId="5" r:id="rId5"/>
    <sheet name="Helvetia" sheetId="6" r:id="rId6"/>
    <sheet name="Mobiliar" sheetId="7" r:id="rId7"/>
    <sheet name="Nationale" sheetId="8" r:id="rId8"/>
    <sheet name="Pax" sheetId="9" r:id="rId9"/>
    <sheet name="Phenix" sheetId="10" r:id="rId10"/>
    <sheet name="Rentenanstalt" sheetId="11" r:id="rId11"/>
    <sheet name="Winterthur" sheetId="12" r:id="rId12"/>
    <sheet name="Zenith" sheetId="13" r:id="rId13"/>
    <sheet name="Zuerich" sheetId="14" r:id="rId14"/>
    <sheet name="Offenlegungsschema leer" sheetId="15" r:id="rId15"/>
  </sheets>
  <definedNames>
    <definedName name="AggrAuswahl">'Aggregierung'!$I$2:$J$13</definedName>
    <definedName name="_xlnm.Print_Area" localSheetId="0">'Aggregierung'!$A$1:$G$137</definedName>
    <definedName name="_xlnm.Print_Area" localSheetId="2">'Allianz Suisse'!$A$1:$G$137</definedName>
    <definedName name="_xlnm.Print_Area" localSheetId="3">'Basler'!$A$1:$G$137</definedName>
    <definedName name="_xlnm.Print_Area" localSheetId="4">'Generali'!$A$1:$G$137</definedName>
    <definedName name="_xlnm.Print_Area" localSheetId="5">'Helvetia'!$A$1:$G$137</definedName>
    <definedName name="_xlnm.Print_Area" localSheetId="6">'Mobiliar'!$A$1:$G$137</definedName>
    <definedName name="_xlnm.Print_Area" localSheetId="7">'Nationale'!$A$1:$G$137</definedName>
    <definedName name="_xlnm.Print_Area" localSheetId="14">'Offenlegungsschema leer'!$A$1:$G$137</definedName>
    <definedName name="_xlnm.Print_Area" localSheetId="8">'Pax'!$A$1:$G$137</definedName>
    <definedName name="_xlnm.Print_Area" localSheetId="9">'Phenix'!$A$1:$G$137</definedName>
    <definedName name="_xlnm.Print_Area" localSheetId="10">'Rentenanstalt'!$A$1:$G$137</definedName>
    <definedName name="_xlnm.Print_Area" localSheetId="11">'Winterthur'!$A$1:$G$137</definedName>
    <definedName name="_xlnm.Print_Area" localSheetId="12">'Zenith'!$A$1:$G$137</definedName>
    <definedName name="_xlnm.Print_Area" localSheetId="13">'Zuerich'!$A$1:$G$137</definedName>
    <definedName name="_xlnm.Print_Area" localSheetId="1">'Zusammenzug pro Versicherer'!$A$1:$BC$133</definedName>
    <definedName name="_xlnm.Print_Titles" localSheetId="1">'Zusammenzug pro Versicherer'!$A:$C</definedName>
  </definedNames>
  <calcPr fullCalcOnLoad="1"/>
</workbook>
</file>

<file path=xl/sharedStrings.xml><?xml version="1.0" encoding="utf-8"?>
<sst xmlns="http://schemas.openxmlformats.org/spreadsheetml/2006/main" count="2298" uniqueCount="145">
  <si>
    <t>Offenlegungsschema gegenüber den versicherten Vorsorgeeinrichtungen</t>
  </si>
  <si>
    <t>Vorkolonne</t>
  </si>
  <si>
    <t>Hauptkolonne</t>
  </si>
  <si>
    <t>Sparprämien</t>
  </si>
  <si>
    <t>Risikoprämien</t>
  </si>
  <si>
    <t>Kostenprämien</t>
  </si>
  <si>
    <t>Versicherungsleistungen</t>
  </si>
  <si>
    <t>Leistungen infolge Alter, Tod und Invalidität</t>
  </si>
  <si>
    <t>Freizügigkeitsleistungen</t>
  </si>
  <si>
    <t>Abschluss-, Leistungsbearbeitungs- und Verwaltungskosten</t>
  </si>
  <si>
    <t>Vertragsindividuell vereinbarte Zuteilung der Überrendite</t>
  </si>
  <si>
    <t>Dem Überschussfonds zugewiesene Überschussbeteiligung</t>
  </si>
  <si>
    <t>Ergebnis der Betriebsrechnung</t>
  </si>
  <si>
    <t>Stand Ende Vorjahr</t>
  </si>
  <si>
    <t>Dem Überschussfonds aus der Betriebsrechnung zugewiesen</t>
  </si>
  <si>
    <t>Dem Überschussfonds zur Deckung eines Betriebsdefizits entnommen</t>
  </si>
  <si>
    <t>Stand am Ende des Rechnungsjahrs</t>
  </si>
  <si>
    <t>1.</t>
  </si>
  <si>
    <t>Buchwert</t>
  </si>
  <si>
    <t>Marktwert</t>
  </si>
  <si>
    <t>2.</t>
  </si>
  <si>
    <t>Kapitalanlagebestand zu Beginn des Rechnungsjahrs</t>
  </si>
  <si>
    <t>3.</t>
  </si>
  <si>
    <t>Kapitalanlagebestand am Ende des Rechnungsjahrs</t>
  </si>
  <si>
    <t>4.</t>
  </si>
  <si>
    <t>5.</t>
  </si>
  <si>
    <t>6.</t>
  </si>
  <si>
    <t>Flüssige Mittel und Festgelder</t>
  </si>
  <si>
    <t>Festverzinsliche</t>
  </si>
  <si>
    <t>Hypotheken und andere Nominalwertforderungen</t>
  </si>
  <si>
    <t>Aktien und Anteile an Anlagefonds</t>
  </si>
  <si>
    <t>Private Equity und Hedge Funds</t>
  </si>
  <si>
    <t>Anlagen in Beteiligungen und verbundenen Unternehmen</t>
  </si>
  <si>
    <t>Immobilien</t>
  </si>
  <si>
    <t>Sonstige Kapitalanlagen</t>
  </si>
  <si>
    <t>7.</t>
  </si>
  <si>
    <t>8.</t>
  </si>
  <si>
    <t>Anzahl Versicherte Ende Rechnungsjahr</t>
  </si>
  <si>
    <r>
      <t xml:space="preserve">Angaben in </t>
    </r>
    <r>
      <rPr>
        <b/>
        <sz val="10"/>
        <rFont val="Arial"/>
        <family val="2"/>
      </rPr>
      <t>1000 CHF</t>
    </r>
    <r>
      <rPr>
        <sz val="10"/>
        <rFont val="Arial"/>
        <family val="0"/>
      </rPr>
      <t>, gemäss statutarischem Rechnungsabschluss</t>
    </r>
  </si>
  <si>
    <t>Pax</t>
  </si>
  <si>
    <t>Zenith</t>
  </si>
  <si>
    <t>Rentenanstalt</t>
  </si>
  <si>
    <t>Auswahl Aggregierung</t>
  </si>
  <si>
    <t>Kosten</t>
  </si>
  <si>
    <t>Mobiliar</t>
  </si>
  <si>
    <t>Phenix</t>
  </si>
  <si>
    <t>Allianz Suisse</t>
  </si>
  <si>
    <t>Basler</t>
  </si>
  <si>
    <t>Generali</t>
  </si>
  <si>
    <t>Winterthur</t>
  </si>
  <si>
    <t>Zuerich</t>
  </si>
  <si>
    <t>Zusammenzug</t>
  </si>
  <si>
    <t>ZUSAMMENZUG pro Lebensversicherer mit beruflicher Vorsorge</t>
  </si>
  <si>
    <t>1 = ausgewählt, 0 = weglassen</t>
  </si>
  <si>
    <t>Vereinnahmte Teuerungsprämien</t>
  </si>
  <si>
    <t>Aufwand für teuerungsbedingte Erhöhungen der Risikorenten</t>
  </si>
  <si>
    <t>Summe der Ertragskomponenten</t>
  </si>
  <si>
    <t>Summe der Aufwendungen</t>
  </si>
  <si>
    <t>Kosten für zusätzlich aufgenommenes Risikokapital</t>
  </si>
  <si>
    <t>Zuweisung an den Überschussfonds</t>
  </si>
  <si>
    <t>Rekapitulation des Betriebsergebnisses</t>
  </si>
  <si>
    <t>Anteil des der Mindestquote unterstellten Geschäfts</t>
  </si>
  <si>
    <t>Anteil des der Mindestquote nicht unterstellten Geschäfts</t>
  </si>
  <si>
    <t>Helvetia</t>
  </si>
  <si>
    <t>Ausschüttungsquote</t>
  </si>
  <si>
    <t>Allianz</t>
  </si>
  <si>
    <t>Zürich</t>
  </si>
  <si>
    <t>Nationale</t>
  </si>
  <si>
    <t>Aggregierung gemäss Auswahl</t>
  </si>
  <si>
    <t>Berufliche Vorsorge 2007</t>
  </si>
  <si>
    <t>I.  Erfolgsrechnung</t>
  </si>
  <si>
    <t>Ertrag</t>
  </si>
  <si>
    <t>Kapitalanlageerträge</t>
  </si>
  <si>
    <t>Zinsaufwand</t>
  </si>
  <si>
    <t>Kosten der Vermögensbewirtschaftung / Nettoerträge</t>
  </si>
  <si>
    <t>Prämien</t>
  </si>
  <si>
    <t>Übriger Ertrag (zusammengefasst)</t>
  </si>
  <si>
    <t>Rückversicherungsergebnis (Gewinn positiv dargestellt)</t>
  </si>
  <si>
    <t>Gesamtertrag</t>
  </si>
  <si>
    <t>Aufwand</t>
  </si>
  <si>
    <t>Rückkaufswerte / Leistungstotal</t>
  </si>
  <si>
    <t>Veränderung versicherungstechnische Rückstellungen</t>
  </si>
  <si>
    <t>Altersguthaben</t>
  </si>
  <si>
    <t>Rentendeckungskapitalien</t>
  </si>
  <si>
    <t>Freizügigkeitspolicen</t>
  </si>
  <si>
    <t>Übrige / Zwischentotal</t>
  </si>
  <si>
    <t>Übriger Aufwand (zusammengefasst)</t>
  </si>
  <si>
    <t>Betriebsergebnis</t>
  </si>
  <si>
    <t>Gesamtaufwand</t>
  </si>
  <si>
    <t>II.  Bilanzkennziffern</t>
  </si>
  <si>
    <t>Aktiven</t>
  </si>
  <si>
    <t>Kapitalanlagen</t>
  </si>
  <si>
    <t>Passiven</t>
  </si>
  <si>
    <t>Versicherungstechnische Rückstellungen brutto</t>
  </si>
  <si>
    <t>Übrige versicherungstechnische Rückstellungen / Zwischentotal</t>
  </si>
  <si>
    <t>III.  Überschussfonds</t>
  </si>
  <si>
    <t>Den Vorsorgeeinrichtungen zugeteilt / Zwischentotal</t>
  </si>
  <si>
    <t>IV.  Teuerungsfonds</t>
  </si>
  <si>
    <t>Tarifzins / Zwischentotal</t>
  </si>
  <si>
    <t>Entnahme zu Gunsten der Betriebsrechnung / Zwischentotal</t>
  </si>
  <si>
    <t>V.  Weitere Kennzahlen</t>
  </si>
  <si>
    <t>Kapitalanlageertrag brutto / Kapitalanlageertrag netto</t>
  </si>
  <si>
    <t>Kapitalanlagebestand</t>
  </si>
  <si>
    <t>Bewertungsreserven</t>
  </si>
  <si>
    <t>Bewertungsreserven zu Beginn des Rechnungsjahrs</t>
  </si>
  <si>
    <t>Bewertungsreserven am Ende des Rechnungsjahrs</t>
  </si>
  <si>
    <t>Veränderung der Bewertungsreserven</t>
  </si>
  <si>
    <t>Rendite auf Buchwerten brutto / netto</t>
  </si>
  <si>
    <t>Performance auf Marktwerten brutto / netto</t>
  </si>
  <si>
    <t>Verwendete Umwandlungssätze im Überobligatorium</t>
  </si>
  <si>
    <t>Männer</t>
  </si>
  <si>
    <t>Frauen</t>
  </si>
  <si>
    <t>Anzahl aktiv Versicherte</t>
  </si>
  <si>
    <t>Anzahl Rentenbezüger</t>
  </si>
  <si>
    <t>Anzahl Freizügigkeitspolicen</t>
  </si>
  <si>
    <t>Anzahl Versicherte insgesamt</t>
  </si>
  <si>
    <t>Kosten der Vermögensbewirtschaftung</t>
  </si>
  <si>
    <t>In Prozent der Kapitalanlagen zu Marktwerten</t>
  </si>
  <si>
    <t>Rückversicherungsanteil Verwaltungskosten</t>
  </si>
  <si>
    <t>Verwaltungskosten pro Kopf in CHF</t>
  </si>
  <si>
    <t>Kostenprämie pro Kopf in CHF</t>
  </si>
  <si>
    <t>Sparprozess (Kapitalanlageertrag)</t>
  </si>
  <si>
    <t>Risikoprozess (Risikoprämien)</t>
  </si>
  <si>
    <t>Kostenprozess (Kostenprämien)</t>
  </si>
  <si>
    <t>Sparprozess (hauptsächlich techn. Verzinsung)</t>
  </si>
  <si>
    <t>Risikoprozess (hauptsächlich Todesfall- und Inv. leistungen)</t>
  </si>
  <si>
    <t>Kostenprozess (hauptsächlich Verwaltungskosten)</t>
  </si>
  <si>
    <t>Veränderung technische Rückstellungen (Zunahme = +)</t>
  </si>
  <si>
    <t>Langlebigkeitsrisiko</t>
  </si>
  <si>
    <t>Deckungslücken bei Rentenumwandlung</t>
  </si>
  <si>
    <t>Gemeldete, noch nicht erledigte Versicherungsfälle</t>
  </si>
  <si>
    <t>Eingetretene, noch nicht gemeldete Versicherungsfälle</t>
  </si>
  <si>
    <t>Schadenschwankungen</t>
  </si>
  <si>
    <t>Wertschwankungen Kapitalanlagen</t>
  </si>
  <si>
    <t>Zinsgarantien</t>
  </si>
  <si>
    <t>Tarifumstellungen und Tarifsanierungen</t>
  </si>
  <si>
    <r>
      <t xml:space="preserve">Bruttoergebnis der Betriebsrechnung  </t>
    </r>
    <r>
      <rPr>
        <vertAlign val="superscript"/>
        <sz val="10"/>
        <rFont val="Arial"/>
        <family val="2"/>
      </rPr>
      <t>a)</t>
    </r>
  </si>
  <si>
    <t>a)  vor Verstärkung der techn. Rückstellungen und Zuweisung an Überschussfonds</t>
  </si>
  <si>
    <t>in %:</t>
  </si>
  <si>
    <t>Einbuchung aus Einzellebengeschäft</t>
  </si>
  <si>
    <t>-</t>
  </si>
  <si>
    <t>Anteil am Gesamtertrag in %</t>
  </si>
  <si>
    <t>MQ unterstellt</t>
  </si>
  <si>
    <t>MQ nicht unterstellt</t>
  </si>
  <si>
    <t>VI.  Nachweis zur Einhaltung der Mindestquote (MQ)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</si>
</sst>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%;;&quot;- &quot;"/>
    <numFmt numFmtId="165" formatCode="0.0%;;&quot;- &quot;"/>
    <numFmt numFmtId="166" formatCode="0%;;&quot;- &quot;"/>
    <numFmt numFmtId="167" formatCode="[Blue]0;;[Black]0"/>
    <numFmt numFmtId="168" formatCode="0;;0"/>
    <numFmt numFmtId="169" formatCode="0.0%"/>
    <numFmt numFmtId="170" formatCode="0.0%;[Red]\-0.0%;&quot;- &quot;"/>
    <numFmt numFmtId="171" formatCode="0;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 quotePrefix="1">
      <alignment/>
    </xf>
    <xf numFmtId="3" fontId="1" fillId="4" borderId="2" xfId="0" applyNumberFormat="1" applyFont="1" applyFill="1" applyBorder="1" applyAlignment="1">
      <alignment horizontal="right"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6" borderId="0" xfId="0" applyFill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168" fontId="4" fillId="2" borderId="0" xfId="0" applyNumberFormat="1" applyFont="1" applyFill="1" applyBorder="1" applyAlignment="1" applyProtection="1">
      <alignment horizontal="center"/>
      <protection locked="0"/>
    </xf>
    <xf numFmtId="168" fontId="4" fillId="2" borderId="1" xfId="0" applyNumberFormat="1" applyFont="1" applyFill="1" applyBorder="1" applyAlignment="1" applyProtection="1">
      <alignment horizontal="center"/>
      <protection locked="0"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 textRotation="90"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0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/>
    </xf>
    <xf numFmtId="0" fontId="0" fillId="0" borderId="7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0" fillId="6" borderId="8" xfId="0" applyFill="1" applyBorder="1" applyAlignment="1">
      <alignment horizontal="right"/>
    </xf>
    <xf numFmtId="0" fontId="0" fillId="6" borderId="9" xfId="0" applyFill="1" applyBorder="1" applyAlignment="1">
      <alignment/>
    </xf>
    <xf numFmtId="0" fontId="0" fillId="0" borderId="13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 quotePrefix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2" borderId="14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4" fontId="3" fillId="7" borderId="1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164" fontId="3" fillId="7" borderId="3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3" fontId="1" fillId="4" borderId="14" xfId="0" applyNumberFormat="1" applyFont="1" applyFill="1" applyBorder="1" applyAlignment="1">
      <alignment horizontal="right"/>
    </xf>
    <xf numFmtId="3" fontId="1" fillId="4" borderId="16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164" fontId="3" fillId="7" borderId="17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 quotePrefix="1">
      <alignment horizontal="right"/>
    </xf>
    <xf numFmtId="3" fontId="3" fillId="0" borderId="7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3" fontId="1" fillId="0" borderId="7" xfId="0" applyNumberFormat="1" applyFont="1" applyFill="1" applyBorder="1" applyAlignment="1">
      <alignment horizontal="right"/>
    </xf>
    <xf numFmtId="170" fontId="3" fillId="0" borderId="7" xfId="0" applyNumberFormat="1" applyFont="1" applyFill="1" applyBorder="1" applyAlignment="1">
      <alignment horizontal="right"/>
    </xf>
    <xf numFmtId="3" fontId="3" fillId="3" borderId="18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3" fontId="1" fillId="2" borderId="20" xfId="0" applyNumberFormat="1" applyFont="1" applyFill="1" applyBorder="1" applyAlignment="1">
      <alignment horizontal="right"/>
    </xf>
    <xf numFmtId="3" fontId="1" fillId="2" borderId="21" xfId="0" applyNumberFormat="1" applyFont="1" applyFill="1" applyBorder="1" applyAlignment="1">
      <alignment horizontal="right"/>
    </xf>
    <xf numFmtId="0" fontId="0" fillId="6" borderId="0" xfId="0" applyFont="1" applyFill="1" applyAlignment="1">
      <alignment/>
    </xf>
    <xf numFmtId="3" fontId="1" fillId="2" borderId="22" xfId="0" applyNumberFormat="1" applyFont="1" applyFill="1" applyBorder="1" applyAlignment="1">
      <alignment horizontal="right"/>
    </xf>
    <xf numFmtId="3" fontId="1" fillId="2" borderId="23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3" fontId="1" fillId="2" borderId="2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 textRotation="90"/>
    </xf>
    <xf numFmtId="3" fontId="1" fillId="2" borderId="25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3" fontId="1" fillId="2" borderId="26" xfId="0" applyNumberFormat="1" applyFont="1" applyFill="1" applyBorder="1" applyAlignment="1">
      <alignment horizontal="right"/>
    </xf>
    <xf numFmtId="0" fontId="3" fillId="8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2" borderId="30" xfId="0" applyFont="1" applyFill="1" applyBorder="1" applyAlignment="1">
      <alignment horizontal="center" vertical="center" textRotation="90"/>
    </xf>
    <xf numFmtId="0" fontId="7" fillId="2" borderId="31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CB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tabColor indexed="17"/>
  </sheetPr>
  <dimension ref="A1:K140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  <col min="8" max="8" width="2.8515625" style="0" customWidth="1"/>
    <col min="9" max="9" width="31.140625" style="0" customWidth="1"/>
    <col min="10" max="10" width="4.00390625" style="0" customWidth="1"/>
    <col min="11" max="11" width="3.57421875" style="0" customWidth="1"/>
  </cols>
  <sheetData>
    <row r="1" spans="1:11" ht="12.75">
      <c r="A1" s="47" t="s">
        <v>69</v>
      </c>
      <c r="B1" s="47"/>
      <c r="C1" s="25"/>
      <c r="I1" s="95" t="s">
        <v>42</v>
      </c>
      <c r="J1" s="96"/>
      <c r="K1" s="97"/>
    </row>
    <row r="2" spans="1:11" ht="12.75" customHeight="1">
      <c r="A2" s="25" t="s">
        <v>0</v>
      </c>
      <c r="B2" s="25"/>
      <c r="C2" s="25"/>
      <c r="I2" s="9" t="s">
        <v>46</v>
      </c>
      <c r="J2" s="22">
        <v>1</v>
      </c>
      <c r="K2" s="98" t="s">
        <v>53</v>
      </c>
    </row>
    <row r="3" spans="1:11" ht="12.75">
      <c r="A3" s="48" t="s">
        <v>68</v>
      </c>
      <c r="B3" s="48"/>
      <c r="C3" s="25"/>
      <c r="I3" s="9" t="s">
        <v>47</v>
      </c>
      <c r="J3" s="22">
        <v>1</v>
      </c>
      <c r="K3" s="98"/>
    </row>
    <row r="4" spans="1:11" ht="12.75">
      <c r="A4" s="25"/>
      <c r="B4" s="25"/>
      <c r="C4" s="25"/>
      <c r="I4" s="9" t="s">
        <v>48</v>
      </c>
      <c r="J4" s="22">
        <v>1</v>
      </c>
      <c r="K4" s="98"/>
    </row>
    <row r="5" spans="1:11" ht="12.75">
      <c r="A5" s="25" t="s">
        <v>38</v>
      </c>
      <c r="B5" s="25"/>
      <c r="C5" s="25"/>
      <c r="I5" s="9" t="s">
        <v>63</v>
      </c>
      <c r="J5" s="22">
        <v>1</v>
      </c>
      <c r="K5" s="98"/>
    </row>
    <row r="6" spans="1:11" ht="12.75">
      <c r="A6" s="25"/>
      <c r="B6" s="25"/>
      <c r="C6" s="25"/>
      <c r="I6" s="9" t="s">
        <v>44</v>
      </c>
      <c r="J6" s="22">
        <v>1</v>
      </c>
      <c r="K6" s="98"/>
    </row>
    <row r="7" spans="1:11" ht="12.75">
      <c r="A7" s="25"/>
      <c r="B7" s="25"/>
      <c r="C7" s="25"/>
      <c r="D7" s="1"/>
      <c r="E7" s="1"/>
      <c r="F7" s="1"/>
      <c r="G7" s="1"/>
      <c r="I7" s="9" t="s">
        <v>67</v>
      </c>
      <c r="J7" s="22">
        <v>1</v>
      </c>
      <c r="K7" s="98"/>
    </row>
    <row r="8" spans="1:11" ht="12.75">
      <c r="A8" s="25"/>
      <c r="B8" s="25"/>
      <c r="C8" s="25"/>
      <c r="D8" s="2"/>
      <c r="E8" s="2" t="s">
        <v>1</v>
      </c>
      <c r="F8" s="2" t="s">
        <v>2</v>
      </c>
      <c r="G8" s="2"/>
      <c r="I8" s="9" t="s">
        <v>39</v>
      </c>
      <c r="J8" s="22">
        <v>1</v>
      </c>
      <c r="K8" s="98"/>
    </row>
    <row r="9" spans="1:11" ht="12.75">
      <c r="A9" s="48" t="s">
        <v>70</v>
      </c>
      <c r="B9" s="48"/>
      <c r="C9" s="25"/>
      <c r="I9" s="9" t="s">
        <v>45</v>
      </c>
      <c r="J9" s="22">
        <v>1</v>
      </c>
      <c r="K9" s="98"/>
    </row>
    <row r="10" spans="1:11" ht="12.75">
      <c r="A10" s="48" t="s">
        <v>71</v>
      </c>
      <c r="B10" s="25"/>
      <c r="C10" s="25"/>
      <c r="E10" s="1"/>
      <c r="F10" s="1"/>
      <c r="I10" s="9" t="s">
        <v>41</v>
      </c>
      <c r="J10" s="22">
        <v>1</v>
      </c>
      <c r="K10" s="98"/>
    </row>
    <row r="11" spans="1:11" ht="12.75">
      <c r="A11" s="25"/>
      <c r="B11" s="50" t="s">
        <v>75</v>
      </c>
      <c r="C11" s="25"/>
      <c r="I11" s="9" t="s">
        <v>49</v>
      </c>
      <c r="J11" s="22">
        <v>1</v>
      </c>
      <c r="K11" s="98"/>
    </row>
    <row r="12" spans="1:11" ht="12.75">
      <c r="A12" s="25"/>
      <c r="B12" s="25"/>
      <c r="C12" s="25" t="s">
        <v>3</v>
      </c>
      <c r="E12" s="5">
        <f>$F$14-E$13-E$14</f>
        <v>16063687.325551044</v>
      </c>
      <c r="F12" s="1"/>
      <c r="I12" s="9" t="s">
        <v>40</v>
      </c>
      <c r="J12" s="22">
        <v>1</v>
      </c>
      <c r="K12" s="98"/>
    </row>
    <row r="13" spans="1:11" ht="12.75">
      <c r="A13" s="25"/>
      <c r="B13" s="25"/>
      <c r="C13" s="25" t="s">
        <v>4</v>
      </c>
      <c r="E13" s="5">
        <f>$J$2*'Allianz Suisse'!E13+$J$3*Basler!E13+$J$4*Generali!E13+$J$6*Mobiliar!E13+$J$7*Nationale!E13+$J$5*Helvetia!E13+$J$8*Pax!E13+$J$9*Phenix!E13+$J$10*Rentenanstalt!E13+$J$11*Winterthur!E13+$J$12*Zenith!E13+$J$13*Zuerich!E13</f>
        <v>3062988.3072954463</v>
      </c>
      <c r="F13" s="1"/>
      <c r="I13" s="10" t="s">
        <v>50</v>
      </c>
      <c r="J13" s="23">
        <v>1</v>
      </c>
      <c r="K13" s="99"/>
    </row>
    <row r="14" spans="1:11" ht="12.75">
      <c r="A14" s="25"/>
      <c r="B14" s="25"/>
      <c r="C14" s="25" t="s">
        <v>5</v>
      </c>
      <c r="E14" s="5">
        <f>$J$2*'Allianz Suisse'!E14+$J$3*Basler!E14+$J$4*Generali!E14+$J$6*Mobiliar!E14+$J$7*Nationale!E14+$J$5*Helvetia!E14+$J$8*Pax!E14+$J$9*Phenix!E14+$J$10*Rentenanstalt!E14+$J$11*Winterthur!E14+$J$12*Zenith!E14+$J$13*Zuerich!E14</f>
        <v>785248.5715935113</v>
      </c>
      <c r="F14" s="3">
        <f>$J$2*'Allianz Suisse'!F14+$J$3*Basler!F14+$J$4*Generali!F14+$J$6*Mobiliar!F14+$J$7*Nationale!F14+$J$5*Helvetia!F14+$J$8*Pax!F14+$J$9*Phenix!F14+$J$10*Rentenanstalt!F14+$J$11*Winterthur!F14+$J$12*Zenith!F14+$J$13*Zuerich!F14</f>
        <v>19911924.20444</v>
      </c>
      <c r="K14" s="91"/>
    </row>
    <row r="15" spans="1:11" ht="12.75">
      <c r="A15" s="25"/>
      <c r="B15" s="50" t="s">
        <v>72</v>
      </c>
      <c r="C15" s="25"/>
      <c r="E15" s="1"/>
      <c r="F15" s="1"/>
      <c r="K15" s="27"/>
    </row>
    <row r="16" spans="1:6" ht="12.75">
      <c r="A16" s="25"/>
      <c r="B16" s="25"/>
      <c r="C16" s="25" t="s">
        <v>72</v>
      </c>
      <c r="E16" s="5">
        <f>$J$2*'Allianz Suisse'!E16+$J$3*Basler!E16+$J$4*Generali!E16+$J$6*Mobiliar!E16+$J$7*Nationale!E16+$J$5*Helvetia!E16+$J$8*Pax!E16+$J$9*Phenix!E16+$J$10*Rentenanstalt!E16+$J$11*Winterthur!E16+$J$12*Zenith!E16+$J$13*Zuerich!E16</f>
        <v>4583716.540460001</v>
      </c>
      <c r="F16" s="1"/>
    </row>
    <row r="17" spans="1:6" ht="12.75">
      <c r="A17" s="25"/>
      <c r="B17" s="25"/>
      <c r="C17" s="25" t="s">
        <v>73</v>
      </c>
      <c r="E17" s="5">
        <f>$J$2*'Allianz Suisse'!E17+$J$3*Basler!E17+$J$4*Generali!E17+$J$6*Mobiliar!E17+$J$7*Nationale!E17+$J$5*Helvetia!E17+$J$8*Pax!E17+$J$9*Phenix!E17+$J$10*Rentenanstalt!E17+$J$11*Winterthur!E17+$J$12*Zenith!E17+$J$13*Zuerich!E17</f>
        <v>51945.95674</v>
      </c>
      <c r="F17" s="1"/>
    </row>
    <row r="18" spans="1:6" ht="12.75">
      <c r="A18" s="25"/>
      <c r="B18" s="25"/>
      <c r="C18" s="25" t="s">
        <v>74</v>
      </c>
      <c r="E18" s="5">
        <f>$J$2*'Allianz Suisse'!E18+$J$3*Basler!E18+$J$4*Generali!E18+$J$6*Mobiliar!E18+$J$7*Nationale!E18+$J$5*Helvetia!E18+$J$8*Pax!E18+$J$9*Phenix!E18+$J$10*Rentenanstalt!E18+$J$11*Winterthur!E18+$J$12*Zenith!E18+$J$13*Zuerich!E18</f>
        <v>316864.038104</v>
      </c>
      <c r="F18" s="3">
        <f>$E$16-$E$17-$E$18</f>
        <v>4214906.545616001</v>
      </c>
    </row>
    <row r="19" spans="1:9" ht="12.75">
      <c r="A19" s="25"/>
      <c r="B19" s="25" t="s">
        <v>76</v>
      </c>
      <c r="C19" s="25"/>
      <c r="F19" s="3">
        <f>$J$2*'Allianz Suisse'!F19+$J$3*Basler!F19+$J$4*Generali!F19+$J$6*Mobiliar!F19+$J$7*Nationale!F19+$J$5*Helvetia!F19+$J$8*Pax!F19+$J$9*Phenix!F19+$J$10*Rentenanstalt!F19+$J$11*Winterthur!F19+$J$12*Zenith!F19+$J$13*Zuerich!F19</f>
        <v>57638.040460000004</v>
      </c>
      <c r="I19" s="7"/>
    </row>
    <row r="20" spans="1:6" ht="13.5" thickBot="1">
      <c r="A20" s="25"/>
      <c r="B20" s="25" t="s">
        <v>77</v>
      </c>
      <c r="C20" s="25"/>
      <c r="E20" s="6"/>
      <c r="F20" s="54">
        <f>$J$2*'Allianz Suisse'!F20+$J$3*Basler!F20+$J$4*Generali!F20+$J$6*Mobiliar!F20+$J$7*Nationale!F20+$J$5*Helvetia!F20+$J$8*Pax!F20+$J$9*Phenix!F20+$J$10*Rentenanstalt!F20+$J$11*Winterthur!F20+$J$12*Zenith!F20+$J$13*Zuerich!F20</f>
        <v>-41875.76042345703</v>
      </c>
    </row>
    <row r="21" spans="1:6" ht="13.5" thickBot="1">
      <c r="A21" s="25"/>
      <c r="B21" s="47" t="s">
        <v>78</v>
      </c>
      <c r="C21" s="25"/>
      <c r="E21" s="6"/>
      <c r="F21" s="55">
        <f>$F$14+$F$18+$F$19+$F$20</f>
        <v>24142593.03009255</v>
      </c>
    </row>
    <row r="22" spans="1:5" ht="12.75">
      <c r="A22" s="25"/>
      <c r="B22" s="25"/>
      <c r="C22" s="25"/>
      <c r="E22" s="6"/>
    </row>
    <row r="23" spans="1:6" ht="12.75">
      <c r="A23" s="48" t="s">
        <v>79</v>
      </c>
      <c r="B23" s="25"/>
      <c r="C23" s="25"/>
      <c r="E23" s="6"/>
      <c r="F23" s="1"/>
    </row>
    <row r="24" spans="1:9" ht="12.75">
      <c r="A24" s="25"/>
      <c r="B24" s="50" t="s">
        <v>6</v>
      </c>
      <c r="C24" s="25"/>
      <c r="E24" s="6"/>
      <c r="F24" s="1"/>
      <c r="I24" s="24"/>
    </row>
    <row r="25" spans="1:9" ht="12.75">
      <c r="A25" s="25"/>
      <c r="B25" s="25"/>
      <c r="C25" s="25" t="s">
        <v>7</v>
      </c>
      <c r="E25" s="5">
        <f>$J$2*'Allianz Suisse'!E25+$J$3*Basler!E25+$J$4*Generali!E25+$J$6*Mobiliar!E25+$J$7*Nationale!E25+$J$5*Helvetia!E25+$J$8*Pax!E25+$J$9*Phenix!E25+$J$10*Rentenanstalt!E25+$J$11*Winterthur!E25+$J$12*Zenith!E25+$J$13*Zuerich!E25</f>
        <v>4705429.9122</v>
      </c>
      <c r="F25" s="1"/>
      <c r="I25" s="24"/>
    </row>
    <row r="26" spans="1:9" ht="12.75">
      <c r="A26" s="25"/>
      <c r="B26" s="25"/>
      <c r="C26" s="25" t="s">
        <v>8</v>
      </c>
      <c r="E26" s="5">
        <f>$J$2*'Allianz Suisse'!E26+$J$3*Basler!E26+$J$4*Generali!E26+$J$6*Mobiliar!E26+$J$7*Nationale!E26+$J$5*Helvetia!E26+$J$8*Pax!E26+$J$9*Phenix!E26+$J$10*Rentenanstalt!E26+$J$11*Winterthur!E26+$J$12*Zenith!E26+$J$13*Zuerich!E26</f>
        <v>8604225.27659</v>
      </c>
      <c r="F26" s="1"/>
      <c r="I26" s="7"/>
    </row>
    <row r="27" spans="1:9" ht="12.75">
      <c r="A27" s="25"/>
      <c r="B27" s="25"/>
      <c r="C27" s="25" t="s">
        <v>80</v>
      </c>
      <c r="E27" s="5">
        <f>$J$2*'Allianz Suisse'!E27+$J$3*Basler!E27+$J$4*Generali!E27+$J$6*Mobiliar!E27+$J$7*Nationale!E27+$J$5*Helvetia!E27+$J$8*Pax!E27+$J$9*Phenix!E27+$J$10*Rentenanstalt!E27+$J$11*Winterthur!E27+$J$12*Zenith!E27+$J$13*Zuerich!E27</f>
        <v>6757554.13508</v>
      </c>
      <c r="F27" s="3">
        <f>SUM($E$25:$E$27)</f>
        <v>20067209.323870003</v>
      </c>
      <c r="I27" s="7"/>
    </row>
    <row r="28" spans="1:5" ht="12.75">
      <c r="A28" s="25"/>
      <c r="B28" s="50" t="s">
        <v>81</v>
      </c>
      <c r="C28" s="25"/>
      <c r="E28" s="1"/>
    </row>
    <row r="29" spans="1:6" ht="12.75">
      <c r="A29" s="25"/>
      <c r="B29" s="25"/>
      <c r="C29" s="25" t="s">
        <v>82</v>
      </c>
      <c r="E29" s="5">
        <f>$J$2*'Allianz Suisse'!E29+$J$3*Basler!E29+$J$4*Generali!E29+$J$6*Mobiliar!E29+$J$7*Nationale!E29+$J$5*Helvetia!E29+$J$8*Pax!E29+$J$9*Phenix!E29+$J$10*Rentenanstalt!E29+$J$11*Winterthur!E29+$J$12*Zenith!E29+$J$13*Zuerich!E29</f>
        <v>-623818.1081998092</v>
      </c>
      <c r="F29" s="1"/>
    </row>
    <row r="30" spans="1:9" ht="12.75">
      <c r="A30" s="25"/>
      <c r="B30" s="25"/>
      <c r="C30" s="25" t="s">
        <v>83</v>
      </c>
      <c r="E30" s="5">
        <f>$J$2*'Allianz Suisse'!E30+$J$3*Basler!E30+$J$4*Generali!E30+$J$6*Mobiliar!E30+$J$7*Nationale!E30+$J$5*Helvetia!E30+$J$8*Pax!E30+$J$9*Phenix!E30+$J$10*Rentenanstalt!E30+$J$11*Winterthur!E30+$J$12*Zenith!E30+$J$13*Zuerich!E30</f>
        <v>1310323.8302768848</v>
      </c>
      <c r="F30" s="1"/>
      <c r="I30" s="7"/>
    </row>
    <row r="31" spans="1:6" ht="12.75">
      <c r="A31" s="25"/>
      <c r="B31" s="25"/>
      <c r="C31" s="25" t="s">
        <v>84</v>
      </c>
      <c r="D31" s="1"/>
      <c r="E31" s="5">
        <f>$J$2*'Allianz Suisse'!E31+$J$3*Basler!E31+$J$4*Generali!E31+$J$6*Mobiliar!E31+$J$7*Nationale!E31+$J$5*Helvetia!E31+$J$8*Pax!E31+$J$9*Phenix!E31+$J$10*Rentenanstalt!E31+$J$11*Winterthur!E31+$J$12*Zenith!E31+$J$13*Zuerich!E31</f>
        <v>-152858.39413999993</v>
      </c>
      <c r="F31" s="1"/>
    </row>
    <row r="32" spans="1:9" ht="12.75">
      <c r="A32" s="25"/>
      <c r="B32" s="25"/>
      <c r="C32" s="25" t="s">
        <v>85</v>
      </c>
      <c r="D32" s="1"/>
      <c r="E32" s="5">
        <f>$F$32-SUM($E$29:$E$31)</f>
        <v>380054.7466029243</v>
      </c>
      <c r="F32" s="3">
        <f>$J$2*'Allianz Suisse'!F32+$J$3*Basler!F32+$J$4*Generali!F32+$J$6*Mobiliar!F32+$J$7*Nationale!F32+$J$5*Helvetia!F32+$J$8*Pax!F32+$J$9*Phenix!F32+$J$10*Rentenanstalt!F32+$J$11*Winterthur!F32+$J$12*Zenith!F32+$J$13*Zuerich!F32</f>
        <v>913702.07454</v>
      </c>
      <c r="I32" s="7"/>
    </row>
    <row r="33" spans="1:6" ht="12.75">
      <c r="A33" s="25"/>
      <c r="B33" s="50" t="s">
        <v>9</v>
      </c>
      <c r="C33" s="25"/>
      <c r="D33" s="1"/>
      <c r="E33" s="1"/>
      <c r="F33" s="3">
        <f>$J$2*'Allianz Suisse'!F33+$J$3*Basler!F33+$J$4*Generali!F33+$J$6*Mobiliar!F33+$J$7*Nationale!F33+$J$5*Helvetia!F33+$J$8*Pax!F33+$J$9*Phenix!F33+$J$10*Rentenanstalt!F33+$J$11*Winterthur!F33+$J$12*Zenith!F33+$J$13*Zuerich!F33</f>
        <v>1016585.1428759999</v>
      </c>
    </row>
    <row r="34" spans="1:6" ht="12.75">
      <c r="A34" s="25"/>
      <c r="B34" s="25" t="s">
        <v>86</v>
      </c>
      <c r="C34" s="25"/>
      <c r="E34" s="1"/>
      <c r="F34" s="3">
        <f>$J$2*'Allianz Suisse'!F34+$J$3*Basler!F34+$J$4*Generali!F34+$J$6*Mobiliar!F34+$J$7*Nationale!F34+$J$5*Helvetia!F34+$J$8*Pax!F34+$J$9*Phenix!F34+$J$10*Rentenanstalt!F34+$J$11*Winterthur!F34+$J$12*Zenith!F34+$J$13*Zuerich!F34</f>
        <v>195030.97872</v>
      </c>
    </row>
    <row r="35" spans="1:6" ht="12.75">
      <c r="A35" s="25"/>
      <c r="B35" s="25" t="s">
        <v>10</v>
      </c>
      <c r="C35" s="25"/>
      <c r="E35" s="1"/>
      <c r="F35" s="3">
        <f>$J$2*'Allianz Suisse'!F35+$J$3*Basler!F35+$J$4*Generali!F35+$J$6*Mobiliar!F35+$J$7*Nationale!F35+$J$5*Helvetia!F35+$J$8*Pax!F35+$J$9*Phenix!F35+$J$10*Rentenanstalt!F35+$J$11*Winterthur!F35+$J$12*Zenith!F35+$J$13*Zuerich!F35</f>
        <v>0</v>
      </c>
    </row>
    <row r="36" spans="1:9" ht="12.75">
      <c r="A36" s="25"/>
      <c r="B36" s="25" t="s">
        <v>11</v>
      </c>
      <c r="C36" s="25"/>
      <c r="F36" s="3">
        <f>$J$2*'Allianz Suisse'!F36+$J$3*Basler!F36+$J$4*Generali!F36+$J$6*Mobiliar!F36+$J$7*Nationale!F36+$J$5*Helvetia!F36+$J$8*Pax!F36+$J$9*Phenix!F36+$J$10*Rentenanstalt!F36+$J$11*Winterthur!F36+$J$12*Zenith!F36+$J$13*Zuerich!F36</f>
        <v>1256702.47407</v>
      </c>
      <c r="I36" s="7"/>
    </row>
    <row r="37" spans="1:9" ht="13.5" thickBot="1">
      <c r="A37" s="25"/>
      <c r="B37" s="25" t="s">
        <v>87</v>
      </c>
      <c r="C37" s="25"/>
      <c r="F37" s="54">
        <f>$F$38-($F$27+SUM($F$32:$F$36))</f>
        <v>693363.0360165462</v>
      </c>
      <c r="I37" s="7"/>
    </row>
    <row r="38" spans="1:9" ht="13.5" thickBot="1">
      <c r="A38" s="25"/>
      <c r="B38" s="25" t="s">
        <v>88</v>
      </c>
      <c r="C38" s="25"/>
      <c r="F38" s="55">
        <f>$F$14+$F$18+$F$19+$F$20</f>
        <v>24142593.03009255</v>
      </c>
      <c r="I38" s="7"/>
    </row>
    <row r="39" spans="1:9" ht="12.75">
      <c r="A39" s="25"/>
      <c r="B39" s="25"/>
      <c r="C39" s="25"/>
      <c r="I39" s="7"/>
    </row>
    <row r="40" spans="1:9" ht="12.75">
      <c r="A40" s="48" t="s">
        <v>89</v>
      </c>
      <c r="B40" s="25"/>
      <c r="C40" s="25"/>
      <c r="E40" s="1"/>
      <c r="F40" s="1"/>
      <c r="I40" s="7"/>
    </row>
    <row r="41" spans="1:9" ht="12.75">
      <c r="A41" s="48" t="s">
        <v>90</v>
      </c>
      <c r="B41" s="25"/>
      <c r="C41" s="25"/>
      <c r="E41" s="1"/>
      <c r="F41" s="1"/>
      <c r="I41" s="7"/>
    </row>
    <row r="42" spans="1:9" ht="12.75">
      <c r="A42" s="25"/>
      <c r="B42" s="50" t="s">
        <v>91</v>
      </c>
      <c r="C42" s="25"/>
      <c r="F42" s="1"/>
      <c r="I42" s="7"/>
    </row>
    <row r="43" spans="1:9" ht="12.75">
      <c r="A43" s="25"/>
      <c r="B43" s="25"/>
      <c r="C43" s="25" t="s">
        <v>27</v>
      </c>
      <c r="E43" s="5">
        <f>$J$2*'Allianz Suisse'!E43+$J$3*Basler!E43+$J$4*Generali!E43+$J$6*Mobiliar!E43+$J$7*Nationale!E43+$J$5*Helvetia!E43+$J$8*Pax!E43+$J$9*Phenix!E43+$J$10*Rentenanstalt!E43+$J$11*Winterthur!E43+$J$12*Zenith!E43+$J$13*Zuerich!E43</f>
        <v>3714191.95787</v>
      </c>
      <c r="F43" s="56" t="s">
        <v>138</v>
      </c>
      <c r="G43" s="57">
        <f>IF(E43&gt;0,E43/$F$50,0)</f>
        <v>0.028924942718651526</v>
      </c>
      <c r="I43" s="7"/>
    </row>
    <row r="44" spans="1:9" ht="12.75">
      <c r="A44" s="25"/>
      <c r="B44" s="25"/>
      <c r="C44" s="25" t="s">
        <v>28</v>
      </c>
      <c r="E44" s="5">
        <f>$J$2*'Allianz Suisse'!E44+$J$3*Basler!E44+$J$4*Generali!E44+$J$6*Mobiliar!E44+$J$7*Nationale!E44+$J$5*Helvetia!E44+$J$8*Pax!E44+$J$9*Phenix!E44+$J$10*Rentenanstalt!E44+$J$11*Winterthur!E44+$J$12*Zenith!E44+$J$13*Zuerich!E44</f>
        <v>73172656.66756</v>
      </c>
      <c r="F44" s="56" t="s">
        <v>138</v>
      </c>
      <c r="G44" s="57">
        <f aca="true" t="shared" si="0" ref="G44:G50">IF(E44&gt;0,E44/$F$50,0)</f>
        <v>0.569845319436451</v>
      </c>
      <c r="I44" s="7"/>
    </row>
    <row r="45" spans="1:9" ht="12.75">
      <c r="A45" s="25"/>
      <c r="B45" s="25"/>
      <c r="C45" s="25" t="s">
        <v>29</v>
      </c>
      <c r="E45" s="5">
        <f>$J$2*'Allianz Suisse'!E45+$J$3*Basler!E45+$J$4*Generali!E45+$J$6*Mobiliar!E45+$J$7*Nationale!E45+$J$5*Helvetia!E45+$J$8*Pax!E45+$J$9*Phenix!E45+$J$10*Rentenanstalt!E45+$J$11*Winterthur!E45+$J$12*Zenith!E45+$J$13*Zuerich!E45</f>
        <v>18672493.47795</v>
      </c>
      <c r="F45" s="56" t="s">
        <v>138</v>
      </c>
      <c r="G45" s="57">
        <f t="shared" si="0"/>
        <v>0.1454154255866282</v>
      </c>
      <c r="I45" s="7"/>
    </row>
    <row r="46" spans="1:9" ht="12.75">
      <c r="A46" s="25"/>
      <c r="B46" s="25"/>
      <c r="C46" s="25" t="s">
        <v>30</v>
      </c>
      <c r="E46" s="5">
        <f>$J$2*'Allianz Suisse'!E46+$J$3*Basler!E46+$J$4*Generali!E46+$J$6*Mobiliar!E46+$J$7*Nationale!E46+$J$5*Helvetia!E46+$J$8*Pax!E46+$J$9*Phenix!E46+$J$10*Rentenanstalt!E46+$J$11*Winterthur!E46+$J$12*Zenith!E46+$J$13*Zuerich!E46</f>
        <v>8735185.44757</v>
      </c>
      <c r="F46" s="56" t="s">
        <v>138</v>
      </c>
      <c r="G46" s="57">
        <f t="shared" si="0"/>
        <v>0.06802683910086807</v>
      </c>
      <c r="I46" s="7"/>
    </row>
    <row r="47" spans="1:9" ht="12.75">
      <c r="A47" s="25"/>
      <c r="B47" s="25"/>
      <c r="C47" s="25" t="s">
        <v>31</v>
      </c>
      <c r="E47" s="5">
        <f>$J$2*'Allianz Suisse'!E47+$J$3*Basler!E47+$J$4*Generali!E47+$J$6*Mobiliar!E47+$J$7*Nationale!E47+$J$5*Helvetia!E47+$J$8*Pax!E47+$J$9*Phenix!E47+$J$10*Rentenanstalt!E47+$J$11*Winterthur!E47+$J$12*Zenith!E47+$J$13*Zuerich!E47</f>
        <v>6639711.74488</v>
      </c>
      <c r="F47" s="56" t="s">
        <v>138</v>
      </c>
      <c r="G47" s="57">
        <f t="shared" si="0"/>
        <v>0.051707958034336414</v>
      </c>
      <c r="I47" s="7"/>
    </row>
    <row r="48" spans="1:7" ht="12.75">
      <c r="A48" s="25"/>
      <c r="B48" s="25"/>
      <c r="C48" s="25" t="s">
        <v>32</v>
      </c>
      <c r="E48" s="5">
        <f>$J$2*'Allianz Suisse'!E48+$J$3*Basler!E48+$J$4*Generali!E48+$J$6*Mobiliar!E48+$J$7*Nationale!E48+$J$5*Helvetia!E48+$J$8*Pax!E48+$J$9*Phenix!E48+$J$10*Rentenanstalt!E48+$J$11*Winterthur!E48+$J$12*Zenith!E48+$J$13*Zuerich!E48</f>
        <v>1519409.8868</v>
      </c>
      <c r="F48" s="56" t="s">
        <v>138</v>
      </c>
      <c r="G48" s="57">
        <f t="shared" si="0"/>
        <v>0.011832679743091793</v>
      </c>
    </row>
    <row r="49" spans="1:7" ht="12.75">
      <c r="A49" s="25"/>
      <c r="B49" s="25"/>
      <c r="C49" s="25" t="s">
        <v>33</v>
      </c>
      <c r="E49" s="5">
        <f>$J$2*'Allianz Suisse'!E49+$J$3*Basler!E49+$J$4*Generali!E49+$J$6*Mobiliar!E49+$J$7*Nationale!E49+$J$5*Helvetia!E49+$J$8*Pax!E49+$J$9*Phenix!E49+$J$10*Rentenanstalt!E49+$J$11*Winterthur!E49+$J$12*Zenith!E49+$J$13*Zuerich!E49</f>
        <v>15274099.649530001</v>
      </c>
      <c r="F49" s="56" t="s">
        <v>138</v>
      </c>
      <c r="G49" s="57">
        <f t="shared" si="0"/>
        <v>0.11894981800967383</v>
      </c>
    </row>
    <row r="50" spans="1:9" ht="13.5" thickBot="1">
      <c r="A50" s="25"/>
      <c r="B50" s="25"/>
      <c r="C50" s="25" t="s">
        <v>34</v>
      </c>
      <c r="E50" s="5">
        <f>$J$2*'Allianz Suisse'!E50+$J$3*Basler!E50+$J$4*Generali!E50+$J$6*Mobiliar!E50+$J$7*Nationale!E50+$J$5*Helvetia!E50+$J$8*Pax!E50+$J$9*Phenix!E50+$J$10*Rentenanstalt!E50+$J$11*Winterthur!E50+$J$12*Zenith!E50+$J$13*Zuerich!E50</f>
        <v>680179.02434</v>
      </c>
      <c r="F50" s="55">
        <f>SUM($E$43:$E$50)</f>
        <v>128407927.8565</v>
      </c>
      <c r="G50" s="57">
        <f t="shared" si="0"/>
        <v>0.005297017370299146</v>
      </c>
      <c r="I50" s="7"/>
    </row>
    <row r="51" spans="1:6" ht="12.75">
      <c r="A51" s="25"/>
      <c r="B51" s="25"/>
      <c r="C51" s="25"/>
      <c r="E51" s="1"/>
      <c r="F51" s="1"/>
    </row>
    <row r="52" spans="1:6" ht="12.75">
      <c r="A52" s="48" t="s">
        <v>92</v>
      </c>
      <c r="B52" s="25"/>
      <c r="C52" s="25"/>
      <c r="E52" s="6"/>
      <c r="F52" s="6"/>
    </row>
    <row r="53" spans="1:3" ht="12.75">
      <c r="A53" s="25"/>
      <c r="B53" s="50" t="s">
        <v>93</v>
      </c>
      <c r="C53" s="25"/>
    </row>
    <row r="54" spans="1:5" ht="12.75">
      <c r="A54" s="25"/>
      <c r="B54" s="25"/>
      <c r="C54" s="25" t="s">
        <v>82</v>
      </c>
      <c r="E54" s="5">
        <f>$J$2*'Allianz Suisse'!E54+$J$3*Basler!E54+$J$4*Generali!E54+$J$6*Mobiliar!E54+$J$7*Nationale!E54+$J$5*Helvetia!E54+$J$8*Pax!E54+$J$9*Phenix!E54+$J$10*Rentenanstalt!E54+$J$11*Winterthur!E54+$J$12*Zenith!E54+$J$13*Zuerich!E54</f>
        <v>70059941.4378002</v>
      </c>
    </row>
    <row r="55" spans="1:5" ht="12.75">
      <c r="A55" s="25"/>
      <c r="B55" s="25"/>
      <c r="C55" s="25" t="s">
        <v>83</v>
      </c>
      <c r="E55" s="5">
        <f>$J$2*'Allianz Suisse'!E55+$J$3*Basler!E55+$J$4*Generali!E55+$J$6*Mobiliar!E55+$J$7*Nationale!E55+$J$5*Helvetia!E55+$J$8*Pax!E55+$J$9*Phenix!E55+$J$10*Rentenanstalt!E55+$J$11*Winterthur!E55+$J$12*Zenith!E55+$J$13*Zuerich!E55</f>
        <v>33259678.812276885</v>
      </c>
    </row>
    <row r="56" spans="1:9" ht="12.75">
      <c r="A56" s="25"/>
      <c r="B56" s="25"/>
      <c r="C56" s="25" t="s">
        <v>84</v>
      </c>
      <c r="E56" s="5">
        <f>$J$2*'Allianz Suisse'!E56+$J$3*Basler!E56+$J$4*Generali!E56+$J$6*Mobiliar!E56+$J$7*Nationale!E56+$J$5*Helvetia!E56+$J$8*Pax!E56+$J$9*Phenix!E56+$J$10*Rentenanstalt!E56+$J$11*Winterthur!E56+$J$12*Zenith!E56+$J$13*Zuerich!E56</f>
        <v>5927135.381860001</v>
      </c>
      <c r="I56" s="4"/>
    </row>
    <row r="57" spans="1:9" ht="12.75">
      <c r="A57" s="25"/>
      <c r="B57" s="25"/>
      <c r="C57" s="25" t="s">
        <v>94</v>
      </c>
      <c r="E57" s="5">
        <f>$J$2*'Allianz Suisse'!E57+$J$3*Basler!E57+$J$4*Generali!E57+$J$6*Mobiliar!E57+$J$7*Nationale!E57+$J$5*Helvetia!E57+$J$8*Pax!E57+$J$9*Phenix!E57+$J$10*Rentenanstalt!E57+$J$11*Winterthur!E57+$J$12*Zenith!E57+$J$13*Zuerich!E57</f>
        <v>11368515.18177332</v>
      </c>
      <c r="F57" s="3">
        <f>SUM($E$54:$E$57)</f>
        <v>120615270.8137104</v>
      </c>
      <c r="I57" s="4"/>
    </row>
    <row r="58" spans="1:6" ht="12.75">
      <c r="A58" s="25"/>
      <c r="B58" s="25"/>
      <c r="C58" s="25"/>
      <c r="E58" s="1"/>
      <c r="F58" s="1"/>
    </row>
    <row r="59" spans="1:6" ht="12.75">
      <c r="A59" s="48" t="s">
        <v>95</v>
      </c>
      <c r="B59" s="25"/>
      <c r="C59" s="25"/>
      <c r="E59" s="1"/>
      <c r="F59" s="1"/>
    </row>
    <row r="60" spans="1:6" ht="12.75">
      <c r="A60" s="25"/>
      <c r="B60" s="25"/>
      <c r="C60" s="25" t="s">
        <v>13</v>
      </c>
      <c r="F60" s="3">
        <f>$J$2*'Allianz Suisse'!F60+$J$3*Basler!F60+$J$4*Generali!F60+$J$6*Mobiliar!F60+$J$7*Nationale!F60+$J$5*Helvetia!F60+$J$8*Pax!F60+$J$9*Phenix!F60+$J$10*Rentenanstalt!F60+$J$11*Winterthur!F60+$J$12*Zenith!F60+$J$13*Zuerich!F60</f>
        <v>1238698.276</v>
      </c>
    </row>
    <row r="61" spans="1:6" ht="12.75">
      <c r="A61" s="25"/>
      <c r="B61" s="25"/>
      <c r="C61" s="25" t="s">
        <v>14</v>
      </c>
      <c r="F61" s="3">
        <f>$F$36</f>
        <v>1256702.47407</v>
      </c>
    </row>
    <row r="62" spans="1:6" ht="12.75">
      <c r="A62" s="25"/>
      <c r="B62" s="25"/>
      <c r="C62" s="25" t="s">
        <v>139</v>
      </c>
      <c r="F62" s="3">
        <f>$J$2*'Allianz Suisse'!F62+$J$3*Basler!F62+$J$4*Generali!F62+$J$6*Mobiliar!F62+$J$7*Nationale!F62+$J$5*Helvetia!F62+$J$8*Pax!F62+$J$9*Phenix!F62+$J$10*Rentenanstalt!F62+$J$11*Winterthur!F62+$J$12*Zenith!F62+$J$13*Zuerich!F62</f>
        <v>915</v>
      </c>
    </row>
    <row r="63" spans="1:6" ht="12.75">
      <c r="A63" s="25"/>
      <c r="B63" s="25"/>
      <c r="C63" s="25" t="s">
        <v>15</v>
      </c>
      <c r="E63" s="5">
        <f>$J$2*'Allianz Suisse'!E63+$J$3*Basler!E63+$J$4*Generali!E63+$J$6*Mobiliar!E63+$J$7*Nationale!E63+$J$5*Helvetia!E63+$J$8*Pax!E63+$J$9*Phenix!E63+$J$10*Rentenanstalt!E63+$J$11*Winterthur!E63+$J$12*Zenith!E63+$J$13*Zuerich!E63</f>
        <v>0</v>
      </c>
      <c r="F63" s="1"/>
    </row>
    <row r="64" spans="1:6" ht="13.5" thickBot="1">
      <c r="A64" s="25"/>
      <c r="B64" s="25"/>
      <c r="C64" s="25" t="s">
        <v>96</v>
      </c>
      <c r="E64" s="5">
        <f>$J$2*'Allianz Suisse'!E64+$J$3*Basler!E64+$J$4*Generali!E64+$J$6*Mobiliar!E64+$J$7*Nationale!E64+$J$5*Helvetia!E64+$J$8*Pax!E64+$J$9*Phenix!E64+$J$10*Rentenanstalt!E64+$J$11*Winterthur!E64+$J$12*Zenith!E64+$J$13*Zuerich!E64</f>
        <v>724578.46391</v>
      </c>
      <c r="F64" s="55">
        <f>$E$64+$E$63</f>
        <v>724578.46391</v>
      </c>
    </row>
    <row r="65" spans="1:6" ht="13.5" thickBot="1">
      <c r="A65" s="25"/>
      <c r="B65" s="25"/>
      <c r="C65" s="25" t="s">
        <v>16</v>
      </c>
      <c r="F65" s="55">
        <f>$F$60+$F$61+$F$62-$F$64</f>
        <v>1771737.2861600001</v>
      </c>
    </row>
    <row r="66" spans="1:6" ht="12.75">
      <c r="A66" s="25"/>
      <c r="B66" s="25"/>
      <c r="C66" s="25"/>
      <c r="F66" s="1"/>
    </row>
    <row r="67" spans="1:6" ht="12.75">
      <c r="A67" s="48" t="s">
        <v>97</v>
      </c>
      <c r="B67" s="25"/>
      <c r="C67" s="25"/>
      <c r="F67" s="1"/>
    </row>
    <row r="68" spans="1:9" ht="12.75">
      <c r="A68" s="25"/>
      <c r="B68" s="25"/>
      <c r="C68" s="25" t="s">
        <v>13</v>
      </c>
      <c r="E68" s="26"/>
      <c r="F68" s="3">
        <f>$J$2*'Allianz Suisse'!F68+$J$3*Basler!F68+$J$4*Generali!F68+$J$6*Mobiliar!F68+$J$7*Nationale!F68+$J$5*Helvetia!F68+$J$8*Pax!F68+$J$9*Phenix!F68+$J$10*Rentenanstalt!F68+$J$11*Winterthur!F68+$J$12*Zenith!F68+$J$13*Zuerich!F68</f>
        <v>2465509.662</v>
      </c>
      <c r="I68" s="4"/>
    </row>
    <row r="69" spans="1:6" ht="12.75">
      <c r="A69" s="25"/>
      <c r="B69" s="25"/>
      <c r="C69" s="25" t="s">
        <v>54</v>
      </c>
      <c r="E69" s="5">
        <f>$J$2*'Allianz Suisse'!E69+$J$3*Basler!E69+$J$4*Generali!E69+$J$6*Mobiliar!E69+$J$7*Nationale!E69+$J$5*Helvetia!E69+$J$8*Pax!E69+$J$9*Phenix!E69+$J$10*Rentenanstalt!E69+$J$11*Winterthur!E69+$J$12*Zenith!E69+$J$13*Zuerich!E69</f>
        <v>66470.686762</v>
      </c>
      <c r="F69" s="58"/>
    </row>
    <row r="70" spans="1:6" ht="12.75">
      <c r="A70" s="25"/>
      <c r="B70" s="25"/>
      <c r="C70" s="25" t="s">
        <v>98</v>
      </c>
      <c r="E70" s="5">
        <f>$J$2*'Allianz Suisse'!E70+$J$3*Basler!E70+$J$4*Generali!E70+$J$6*Mobiliar!E70+$J$7*Nationale!E70+$J$5*Helvetia!E70+$J$8*Pax!E70+$J$9*Phenix!E70+$J$10*Rentenanstalt!E70+$J$11*Winterthur!E70+$J$12*Zenith!E70+$J$13*Zuerich!E70</f>
        <v>28803.251080019003</v>
      </c>
      <c r="F70" s="3">
        <f>$E$69+$E$70</f>
        <v>95273.937842019</v>
      </c>
    </row>
    <row r="71" spans="1:6" ht="12.75">
      <c r="A71" s="25"/>
      <c r="B71" s="25"/>
      <c r="C71" s="25" t="s">
        <v>55</v>
      </c>
      <c r="E71" s="5">
        <f>$J$2*'Allianz Suisse'!E71+$J$3*Basler!E71+$J$4*Generali!E71+$J$6*Mobiliar!E71+$J$7*Nationale!E71+$J$5*Helvetia!E71+$J$8*Pax!E71+$J$9*Phenix!E71+$J$10*Rentenanstalt!E71+$J$11*Winterthur!E71+$J$12*Zenith!E71+$J$13*Zuerich!E71</f>
        <v>75182.32315209995</v>
      </c>
      <c r="F71" s="60"/>
    </row>
    <row r="72" spans="1:6" ht="13.5" thickBot="1">
      <c r="A72" s="49"/>
      <c r="B72" s="49"/>
      <c r="C72" s="25" t="s">
        <v>99</v>
      </c>
      <c r="E72" s="5">
        <f>$J$2*'Allianz Suisse'!E72+$J$3*Basler!E72+$J$4*Generali!E72+$J$6*Mobiliar!E72+$J$7*Nationale!E72+$J$5*Helvetia!E72+$J$8*Pax!E72+$J$9*Phenix!E72+$J$10*Rentenanstalt!E72+$J$11*Winterthur!E72+$J$12*Zenith!E72+$J$13*Zuerich!E72</f>
        <v>8499.748870000001</v>
      </c>
      <c r="F72" s="55">
        <f>$E$72+$E$71</f>
        <v>83682.07202209995</v>
      </c>
    </row>
    <row r="73" spans="1:6" ht="13.5" thickBot="1">
      <c r="A73" s="49"/>
      <c r="B73" s="49"/>
      <c r="C73" s="25" t="s">
        <v>16</v>
      </c>
      <c r="E73" s="26"/>
      <c r="F73" s="55">
        <f>$F$68+$F$70-$F$72</f>
        <v>2477101.527819919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100</v>
      </c>
      <c r="B75" s="49"/>
      <c r="C75" s="25"/>
      <c r="E75" s="60"/>
      <c r="F75" s="61"/>
    </row>
    <row r="76" spans="1:7" ht="13.5" thickBot="1">
      <c r="A76" s="25"/>
      <c r="B76" s="25" t="s">
        <v>17</v>
      </c>
      <c r="C76" s="25" t="s">
        <v>101</v>
      </c>
      <c r="D76" s="26"/>
      <c r="E76" s="55">
        <f>$E$16-$E$17</f>
        <v>4531770.58372</v>
      </c>
      <c r="F76" s="55">
        <f>$F$18</f>
        <v>4214906.545616001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12.75">
      <c r="A78" s="25"/>
      <c r="B78" s="25" t="s">
        <v>20</v>
      </c>
      <c r="C78" s="25" t="s">
        <v>102</v>
      </c>
      <c r="D78" s="26"/>
      <c r="E78" s="58" t="s">
        <v>18</v>
      </c>
      <c r="F78" s="58" t="s">
        <v>19</v>
      </c>
      <c r="G78" s="26"/>
    </row>
    <row r="79" spans="1:7" ht="12.75">
      <c r="A79" s="25"/>
      <c r="B79" s="25"/>
      <c r="C79" s="25" t="s">
        <v>21</v>
      </c>
      <c r="D79" s="26"/>
      <c r="E79" s="3">
        <f>$J$2*'Allianz Suisse'!E79+$J$3*Basler!E79+$J$4*Generali!E79+$J$6*Mobiliar!E79+$J$7*Nationale!E79+$J$5*Helvetia!E79+$J$8*Pax!E79+$J$9*Phenix!E79+$J$10*Rentenanstalt!E79+$J$11*Winterthur!E79+$J$12*Zenith!E79+$J$13*Zuerich!E79</f>
        <v>125432341.572</v>
      </c>
      <c r="F79" s="3">
        <f>$J$2*'Allianz Suisse'!F79+$J$3*Basler!F79+$J$4*Generali!F79+$J$6*Mobiliar!F79+$J$7*Nationale!F79+$J$5*Helvetia!F79+$J$8*Pax!F79+$J$9*Phenix!F79+$J$10*Rentenanstalt!F79+$J$11*Winterthur!F79+$J$12*Zenith!F79+$J$13*Zuerich!F79</f>
        <v>129267092.00299999</v>
      </c>
      <c r="G79" s="26"/>
    </row>
    <row r="80" spans="1:7" ht="12.75">
      <c r="A80" s="25"/>
      <c r="B80" s="25"/>
      <c r="C80" s="25" t="s">
        <v>23</v>
      </c>
      <c r="D80" s="26"/>
      <c r="E80" s="3">
        <f>$J$2*'Allianz Suisse'!E80+$J$3*Basler!E80+$J$4*Generali!E80+$J$6*Mobiliar!E80+$J$7*Nationale!E80+$J$5*Helvetia!E80+$J$8*Pax!E80+$J$9*Phenix!E80+$J$10*Rentenanstalt!E80+$J$11*Winterthur!E80+$J$12*Zenith!E80+$J$13*Zuerich!E80</f>
        <v>128407927.8565</v>
      </c>
      <c r="F80" s="3">
        <f>$J$2*'Allianz Suisse'!F80+$J$3*Basler!F80+$J$4*Generali!F80+$J$6*Mobiliar!F80+$J$7*Nationale!F80+$J$5*Helvetia!F80+$J$8*Pax!F80+$J$9*Phenix!F80+$J$10*Rentenanstalt!F80+$J$11*Winterthur!F80+$J$12*Zenith!F80+$J$13*Zuerich!F80</f>
        <v>129553156.56351039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9" ht="12.75">
      <c r="A82" s="25"/>
      <c r="B82" s="25" t="s">
        <v>22</v>
      </c>
      <c r="C82" s="25" t="s">
        <v>103</v>
      </c>
      <c r="D82" s="59"/>
      <c r="E82" s="26"/>
      <c r="F82" s="59"/>
      <c r="G82" s="26"/>
      <c r="I82" s="4"/>
    </row>
    <row r="83" spans="1:7" ht="13.5" thickBot="1">
      <c r="A83" s="25"/>
      <c r="B83" s="25"/>
      <c r="C83" s="25" t="s">
        <v>104</v>
      </c>
      <c r="D83" s="59"/>
      <c r="E83" s="61"/>
      <c r="F83" s="55">
        <f>$F$79-$E$79</f>
        <v>3834750.4309999943</v>
      </c>
      <c r="G83" s="61"/>
    </row>
    <row r="84" spans="1:7" ht="13.5" thickBot="1">
      <c r="A84" s="25"/>
      <c r="B84" s="25"/>
      <c r="C84" s="25" t="s">
        <v>105</v>
      </c>
      <c r="D84" s="26"/>
      <c r="E84" s="26"/>
      <c r="F84" s="55">
        <f>$F$80-$E$80</f>
        <v>1145228.7070103884</v>
      </c>
      <c r="G84" s="26"/>
    </row>
    <row r="85" spans="1:7" ht="13.5" thickBot="1">
      <c r="A85" s="25"/>
      <c r="B85" s="25"/>
      <c r="C85" s="25" t="s">
        <v>106</v>
      </c>
      <c r="D85" s="59"/>
      <c r="E85" s="26"/>
      <c r="F85" s="55">
        <f>$F$84-$F$83</f>
        <v>-2689521.723989606</v>
      </c>
      <c r="G85" s="26"/>
    </row>
    <row r="86" spans="1:9" ht="12.75">
      <c r="A86" s="25"/>
      <c r="B86" s="25"/>
      <c r="C86" s="25"/>
      <c r="D86" s="59"/>
      <c r="E86" s="26"/>
      <c r="F86" s="59"/>
      <c r="G86" s="26"/>
      <c r="I86" s="4"/>
    </row>
    <row r="87" spans="1:7" ht="12.75">
      <c r="A87" s="25"/>
      <c r="B87" s="25" t="s">
        <v>24</v>
      </c>
      <c r="C87" s="25" t="s">
        <v>107</v>
      </c>
      <c r="D87" s="59"/>
      <c r="E87" s="57">
        <f>IF($E$79+$E$80&gt;0,E$76/(($E$79+$E$80)/2),0)</f>
        <v>0.03570568683938841</v>
      </c>
      <c r="F87" s="57">
        <f>IF($E$79+$E$80&gt;0,F$76/(($E$79+$E$80)/2),0)</f>
        <v>0.03320912442383951</v>
      </c>
      <c r="G87" s="61"/>
    </row>
    <row r="88" spans="1:7" ht="12.75">
      <c r="A88" s="25"/>
      <c r="B88" s="25" t="s">
        <v>25</v>
      </c>
      <c r="C88" s="25" t="s">
        <v>108</v>
      </c>
      <c r="D88" s="26"/>
      <c r="E88" s="57">
        <f>IF($F$79+$F$80&gt;0,(E$76+($F$80-$E$80)-($F$79-$E$79))/(($F$79+$F$80)/2),0)</f>
        <v>0.0142357398227827</v>
      </c>
      <c r="F88" s="57">
        <f>IF($F$79+$F$80&gt;0,(F$76+($F$80-$E$80)-($F$79-$E$79))/(($F$79+$F$80)/2),0)</f>
        <v>0.011787213945391208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26</v>
      </c>
      <c r="C90" s="25" t="s">
        <v>109</v>
      </c>
      <c r="D90" s="26"/>
      <c r="E90" s="59"/>
      <c r="F90" s="26"/>
      <c r="G90" s="62"/>
    </row>
    <row r="91" spans="1:7" ht="12.75">
      <c r="A91" s="25"/>
      <c r="B91" s="25"/>
      <c r="C91" s="25" t="s">
        <v>110</v>
      </c>
      <c r="D91" s="26"/>
      <c r="E91" s="68"/>
      <c r="F91" s="67" t="s">
        <v>140</v>
      </c>
      <c r="G91" s="59"/>
    </row>
    <row r="92" spans="1:7" ht="12.75">
      <c r="A92" s="25"/>
      <c r="B92" s="25"/>
      <c r="C92" s="25" t="s">
        <v>111</v>
      </c>
      <c r="D92" s="26"/>
      <c r="E92" s="68"/>
      <c r="F92" s="67" t="s">
        <v>140</v>
      </c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35</v>
      </c>
      <c r="C94" s="25" t="s">
        <v>37</v>
      </c>
      <c r="D94" s="26"/>
      <c r="E94" s="64"/>
      <c r="F94" s="26"/>
      <c r="G94" s="65"/>
    </row>
    <row r="95" spans="1:7" ht="12.75">
      <c r="A95" s="25"/>
      <c r="B95" s="25"/>
      <c r="C95" s="25" t="s">
        <v>112</v>
      </c>
      <c r="D95" s="26"/>
      <c r="E95" s="26"/>
      <c r="F95" s="8">
        <f>$J$2*'Allianz Suisse'!F95+$J$3*Basler!F95+$J$4*Generali!F95+$J$6*Mobiliar!F95+$J$7*Nationale!F95+$J$5*Helvetia!F95+$J$8*Pax!F95+$J$9*Phenix!F95+$J$10*Rentenanstalt!F95+$J$11*Winterthur!F95+$J$12*Zenith!F95+$J$13*Zuerich!F95</f>
        <v>1586359.5588691512</v>
      </c>
      <c r="G95" s="26"/>
    </row>
    <row r="96" spans="1:7" ht="12.75">
      <c r="A96" s="25"/>
      <c r="B96" s="25"/>
      <c r="C96" s="25" t="s">
        <v>113</v>
      </c>
      <c r="D96" s="26"/>
      <c r="E96" s="26"/>
      <c r="F96" s="8">
        <f>$J$2*'Allianz Suisse'!F96+$J$3*Basler!F96+$J$4*Generali!F96+$J$6*Mobiliar!F96+$J$7*Nationale!F96+$J$5*Helvetia!F96+$J$8*Pax!F96+$J$9*Phenix!F96+$J$10*Rentenanstalt!F96+$J$11*Winterthur!F96+$J$12*Zenith!F96+$J$13*Zuerich!F96</f>
        <v>200176.76113084884</v>
      </c>
      <c r="G96" s="26"/>
    </row>
    <row r="97" spans="1:7" ht="13.5" thickBot="1">
      <c r="A97" s="25"/>
      <c r="B97" s="25"/>
      <c r="C97" s="25" t="s">
        <v>114</v>
      </c>
      <c r="D97" s="26"/>
      <c r="E97" s="61"/>
      <c r="F97" s="8">
        <f>$J$2*'Allianz Suisse'!F97+$J$3*Basler!F97+$J$4*Generali!F97+$J$6*Mobiliar!F97+$J$7*Nationale!F97+$J$5*Helvetia!F97+$J$8*Pax!F97+$J$9*Phenix!F97+$J$10*Rentenanstalt!F97+$J$11*Winterthur!F97+$J$12*Zenith!F97+$J$13*Zuerich!F97</f>
        <v>315331</v>
      </c>
      <c r="G97" s="26"/>
    </row>
    <row r="98" spans="1:7" ht="13.5" thickBot="1">
      <c r="A98" s="25"/>
      <c r="B98" s="25"/>
      <c r="C98" s="25" t="s">
        <v>115</v>
      </c>
      <c r="D98" s="26"/>
      <c r="E98" s="61"/>
      <c r="F98" s="70">
        <f>SUM($F$95:$F$97)</f>
        <v>2101867.3200000003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36</v>
      </c>
      <c r="C100" s="25" t="s">
        <v>43</v>
      </c>
    </row>
    <row r="101" spans="1:6" ht="12.75">
      <c r="A101" s="25"/>
      <c r="B101" s="25"/>
      <c r="C101" s="25" t="s">
        <v>116</v>
      </c>
      <c r="F101" s="3">
        <f>$E$18</f>
        <v>316864.038104</v>
      </c>
    </row>
    <row r="102" spans="1:6" ht="12.75">
      <c r="A102" s="25"/>
      <c r="B102" s="25"/>
      <c r="C102" s="25" t="s">
        <v>117</v>
      </c>
      <c r="F102" s="57">
        <f>IF($F$101&gt;0,$F$101/(($F$79+$F$80)/2),0)</f>
        <v>0.0024485258773914963</v>
      </c>
    </row>
    <row r="103" spans="1:5" ht="12.75">
      <c r="A103" s="25"/>
      <c r="B103" s="25"/>
      <c r="C103" s="25" t="s">
        <v>9</v>
      </c>
      <c r="E103" s="5">
        <f>$J$2*'Allianz Suisse'!E103+$J$3*Basler!E103+$J$4*Generali!E103+$J$6*Mobiliar!E103+$J$7*Nationale!E103+$J$5*Helvetia!E103+$J$8*Pax!E103+$J$9*Phenix!E103+$J$10*Rentenanstalt!E103+$J$11*Winterthur!E103+$J$12*Zenith!E103+$J$13*Zuerich!E103</f>
        <v>1016585.1428759999</v>
      </c>
    </row>
    <row r="104" spans="1:6" ht="13.5" thickBot="1">
      <c r="A104" s="25"/>
      <c r="B104" s="25"/>
      <c r="C104" s="25" t="s">
        <v>118</v>
      </c>
      <c r="E104" s="5">
        <f>$J$2*'Allianz Suisse'!E104+$J$3*Basler!E104+$J$4*Generali!E104+$J$6*Mobiliar!E104+$J$7*Nationale!E104+$J$5*Helvetia!E104+$J$8*Pax!E104+$J$9*Phenix!E104+$J$10*Rentenanstalt!E104+$J$11*Winterthur!E104+$J$12*Zenith!E104+$J$13*Zuerich!E104</f>
        <v>16944.64401</v>
      </c>
      <c r="F104" s="55">
        <f>$E$103-$E$104</f>
        <v>999640.4988659999</v>
      </c>
    </row>
    <row r="105" spans="1:6" ht="12.75">
      <c r="A105" s="25"/>
      <c r="B105" s="25"/>
      <c r="C105" s="25" t="s">
        <v>119</v>
      </c>
      <c r="F105" s="3">
        <f>IF(F$98&gt;0,(1000*F$104)/F$98,0)</f>
        <v>475.5963848688602</v>
      </c>
    </row>
    <row r="106" spans="1:6" ht="12.75">
      <c r="A106" s="25"/>
      <c r="B106" s="25"/>
      <c r="C106" s="25" t="s">
        <v>120</v>
      </c>
      <c r="F106" s="3">
        <f>IF($F$98&gt;0,$E$14*1000/$F$98,0)</f>
        <v>373.59568994750396</v>
      </c>
    </row>
    <row r="107" spans="1:3" ht="12.75">
      <c r="A107" s="25"/>
      <c r="B107" s="25"/>
      <c r="C107" s="25"/>
    </row>
    <row r="108" spans="1:3" ht="12.75">
      <c r="A108" s="48" t="s">
        <v>144</v>
      </c>
      <c r="B108" s="25"/>
      <c r="C108" s="25"/>
    </row>
    <row r="109" spans="1:7" ht="12.75">
      <c r="A109" s="25"/>
      <c r="B109" s="50" t="s">
        <v>56</v>
      </c>
      <c r="C109" s="25"/>
      <c r="D109" s="100" t="s">
        <v>142</v>
      </c>
      <c r="E109" s="100"/>
      <c r="F109" s="100" t="s">
        <v>143</v>
      </c>
      <c r="G109" s="100"/>
    </row>
    <row r="110" spans="1:6" ht="12.75">
      <c r="A110" s="25"/>
      <c r="B110" s="25"/>
      <c r="C110" s="25" t="s">
        <v>121</v>
      </c>
      <c r="D110" s="5">
        <f>$J$2*'Allianz Suisse'!D110+$J$3*Basler!D110+$J$4*Generali!D110+$J$6*Mobiliar!D110+$J$7*Nationale!D110+$J$5*Helvetia!D110+$J$8*Pax!D110+$J$9*Phenix!D110+$J$10*Rentenanstalt!D110+$J$11*Winterthur!D110+$J$12*Zenith!D110+$J$13*Zuerich!D110</f>
        <v>3711712.555116092</v>
      </c>
      <c r="F110" s="5">
        <f>$J$2*'Allianz Suisse'!F110+$J$3*Basler!F110+$J$4*Generali!F110+$J$6*Mobiliar!F110+$J$7*Nationale!F110+$J$5*Helvetia!F110+$J$8*Pax!F110+$J$9*Phenix!F110+$J$10*Rentenanstalt!F110+$J$11*Winterthur!F110+$J$12*Zenith!F110+$J$13*Zuerich!F110</f>
        <v>503178.1567002131</v>
      </c>
    </row>
    <row r="111" spans="1:6" ht="12.75">
      <c r="A111" s="25"/>
      <c r="B111" s="25"/>
      <c r="C111" s="25" t="s">
        <v>122</v>
      </c>
      <c r="D111" s="5">
        <f>$J$2*'Allianz Suisse'!D111+$J$3*Basler!D111+$J$4*Generali!D111+$J$6*Mobiliar!D111+$J$7*Nationale!D111+$J$5*Helvetia!D111+$J$8*Pax!D111+$J$9*Phenix!D111+$J$10*Rentenanstalt!D111+$J$11*Winterthur!D111+$J$12*Zenith!D111+$J$13*Zuerich!D111</f>
        <v>2218297.0039859656</v>
      </c>
      <c r="F111" s="5">
        <f>$J$2*'Allianz Suisse'!F111+$J$3*Basler!F111+$J$4*Generali!F111+$J$6*Mobiliar!F111+$J$7*Nationale!F111+$J$5*Helvetia!F111+$J$8*Pax!F111+$J$9*Phenix!F111+$J$10*Rentenanstalt!F111+$J$11*Winterthur!F111+$J$12*Zenith!F111+$J$13*Zuerich!F111</f>
        <v>844691.303309481</v>
      </c>
    </row>
    <row r="112" spans="1:7" ht="12.75">
      <c r="A112" s="25"/>
      <c r="B112" s="25"/>
      <c r="C112" s="25" t="s">
        <v>123</v>
      </c>
      <c r="D112" s="5">
        <f>$J$2*'Allianz Suisse'!D112+$J$3*Basler!D112+$J$4*Generali!D112+$J$6*Mobiliar!D112+$J$7*Nationale!D112+$J$5*Helvetia!D112+$J$8*Pax!D112+$J$9*Phenix!D112+$J$10*Rentenanstalt!D112+$J$11*Winterthur!D112+$J$12*Zenith!D112+$J$13*Zuerich!D112</f>
        <v>657042.4388820776</v>
      </c>
      <c r="E112" s="3">
        <f>SUM($D$110:$D$112)</f>
        <v>6587051.9979841355</v>
      </c>
      <c r="F112" s="5">
        <f>$J$2*'Allianz Suisse'!F112+$J$3*Basler!F112+$J$4*Generali!F112+$J$6*Mobiliar!F112+$J$7*Nationale!F112+$J$5*Helvetia!F112+$J$8*Pax!F112+$J$9*Phenix!F112+$J$10*Rentenanstalt!F112+$J$11*Winterthur!F112+$J$12*Zenith!F112+$J$13*Zuerich!F112</f>
        <v>128206.13271143357</v>
      </c>
      <c r="G112" s="3">
        <f>SUM($F$110:$F$112)</f>
        <v>1476075.5927211277</v>
      </c>
    </row>
    <row r="113" spans="1:3" ht="12.75">
      <c r="A113" s="25"/>
      <c r="B113" s="50" t="s">
        <v>57</v>
      </c>
      <c r="C113" s="25"/>
    </row>
    <row r="114" spans="1:6" ht="12.75">
      <c r="A114" s="25"/>
      <c r="B114" s="25"/>
      <c r="C114" s="25" t="s">
        <v>124</v>
      </c>
      <c r="D114" s="5">
        <f>$J$2*'Allianz Suisse'!D114+$J$3*Basler!D114+$J$4*Generali!D114+$J$6*Mobiliar!D114+$J$7*Nationale!D114+$J$5*Helvetia!D114+$J$8*Pax!D114+$J$9*Phenix!D114+$J$10*Rentenanstalt!D114+$J$11*Winterthur!D114+$J$12*Zenith!D114+$J$13*Zuerich!D114</f>
        <v>3007692.3450421495</v>
      </c>
      <c r="F114" s="5">
        <f>$J$2*'Allianz Suisse'!F114+$J$3*Basler!F114+$J$4*Generali!F114+$J$6*Mobiliar!F114+$J$7*Nationale!F114+$J$5*Helvetia!F114+$J$8*Pax!F114+$J$9*Phenix!F114+$J$10*Rentenanstalt!F114+$J$11*Winterthur!F114+$J$12*Zenith!F114+$J$13*Zuerich!F114</f>
        <v>383657.77064923744</v>
      </c>
    </row>
    <row r="115" spans="1:6" ht="12.75">
      <c r="A115" s="25"/>
      <c r="B115" s="25"/>
      <c r="C115" s="25" t="s">
        <v>125</v>
      </c>
      <c r="D115" s="5">
        <f>$J$2*'Allianz Suisse'!D115+$J$3*Basler!D115+$J$4*Generali!D115+$J$6*Mobiliar!D115+$J$7*Nationale!D115+$J$5*Helvetia!D115+$J$8*Pax!D115+$J$9*Phenix!D115+$J$10*Rentenanstalt!D115+$J$11*Winterthur!D115+$J$12*Zenith!D115+$J$13*Zuerich!D115</f>
        <v>1125347.3211883965</v>
      </c>
      <c r="F115" s="5">
        <f>$J$2*'Allianz Suisse'!F115+$J$3*Basler!F115+$J$4*Generali!F115+$J$6*Mobiliar!F115+$J$7*Nationale!F115+$J$5*Helvetia!F115+$J$8*Pax!F115+$J$9*Phenix!F115+$J$10*Rentenanstalt!F115+$J$11*Winterthur!F115+$J$12*Zenith!F115+$J$13*Zuerich!F115</f>
        <v>394524.1955268567</v>
      </c>
    </row>
    <row r="116" spans="1:7" ht="12.75">
      <c r="A116" s="25"/>
      <c r="B116" s="25"/>
      <c r="C116" s="25" t="s">
        <v>126</v>
      </c>
      <c r="D116" s="5">
        <f>$J$2*'Allianz Suisse'!D116+$J$3*Basler!D116+$J$4*Generali!D116+$J$6*Mobiliar!D116+$J$7*Nationale!D116+$J$5*Helvetia!D116+$J$8*Pax!D116+$J$9*Phenix!D116+$J$10*Rentenanstalt!D116+$J$11*Winterthur!D116+$J$12*Zenith!D116+$J$13*Zuerich!D116</f>
        <v>840017.8530448445</v>
      </c>
      <c r="E116" s="3">
        <f>SUM($D$114:$D$116)</f>
        <v>4973057.519275391</v>
      </c>
      <c r="F116" s="5">
        <f>$J$2*'Allianz Suisse'!F116+$J$3*Basler!F116+$J$4*Generali!F116+$J$6*Mobiliar!F116+$J$7*Nationale!F116+$J$5*Helvetia!F116+$J$8*Pax!F116+$J$9*Phenix!F116+$J$10*Rentenanstalt!F116+$J$11*Winterthur!F116+$J$12*Zenith!F116+$J$13*Zuerich!F116</f>
        <v>131252.41822515562</v>
      </c>
      <c r="G116" s="3">
        <f>SUM($F$114:$F$116)</f>
        <v>909434.3844012497</v>
      </c>
    </row>
    <row r="117" spans="1:7" ht="14.25">
      <c r="A117" s="25"/>
      <c r="B117" s="51" t="s">
        <v>136</v>
      </c>
      <c r="C117" s="25"/>
      <c r="E117" s="3">
        <f>$E$112-$E$116</f>
        <v>1613994.478708745</v>
      </c>
      <c r="G117" s="3">
        <f>$G$112-$G$116</f>
        <v>566641.208319878</v>
      </c>
    </row>
    <row r="118" spans="1:3" ht="12.75">
      <c r="A118" s="25"/>
      <c r="B118" s="50" t="s">
        <v>127</v>
      </c>
      <c r="C118" s="25"/>
    </row>
    <row r="119" spans="1:6" ht="12.75">
      <c r="A119" s="25"/>
      <c r="B119" s="25"/>
      <c r="C119" s="25" t="s">
        <v>128</v>
      </c>
      <c r="D119" s="5">
        <f>$J$2*'Allianz Suisse'!D119+$J$3*Basler!D119+$J$4*Generali!D119+$J$6*Mobiliar!D119+$J$7*Nationale!D119+$J$5*Helvetia!D119+$J$8*Pax!D119+$J$9*Phenix!D119+$J$10*Rentenanstalt!D119+$J$11*Winterthur!D119+$J$12*Zenith!D119+$J$13*Zuerich!D119</f>
        <v>61540.757929118525</v>
      </c>
      <c r="F119" s="5">
        <f>$J$2*'Allianz Suisse'!F119+$J$3*Basler!F119+$J$4*Generali!F119+$J$6*Mobiliar!F119+$J$7*Nationale!F119+$J$5*Helvetia!F119+$J$8*Pax!F119+$J$9*Phenix!F119+$J$10*Rentenanstalt!F119+$J$11*Winterthur!F119+$J$12*Zenith!F119+$J$13*Zuerich!F119</f>
        <v>-27309.740346403672</v>
      </c>
    </row>
    <row r="120" spans="1:6" ht="12.75">
      <c r="A120" s="25"/>
      <c r="B120" s="25"/>
      <c r="C120" s="25" t="s">
        <v>129</v>
      </c>
      <c r="D120" s="5">
        <f>$J$2*'Allianz Suisse'!D120+$J$3*Basler!D120+$J$4*Generali!D120+$J$6*Mobiliar!D120+$J$7*Nationale!D120+$J$5*Helvetia!D120+$J$8*Pax!D120+$J$9*Phenix!D120+$J$10*Rentenanstalt!D120+$J$11*Winterthur!D120+$J$12*Zenith!D120+$J$13*Zuerich!D120</f>
        <v>81092.47203276462</v>
      </c>
      <c r="F120" s="5">
        <f>$J$2*'Allianz Suisse'!F120+$J$3*Basler!F120+$J$4*Generali!F120+$J$6*Mobiliar!F120+$J$7*Nationale!F120+$J$5*Helvetia!F120+$J$8*Pax!F120+$J$9*Phenix!F120+$J$10*Rentenanstalt!F120+$J$11*Winterthur!F120+$J$12*Zenith!F120+$J$13*Zuerich!F120</f>
        <v>-4928.109925671992</v>
      </c>
    </row>
    <row r="121" spans="1:6" ht="12.75">
      <c r="A121" s="25"/>
      <c r="B121" s="25"/>
      <c r="C121" s="25" t="s">
        <v>130</v>
      </c>
      <c r="D121" s="5">
        <f>$J$2*'Allianz Suisse'!D121+$J$3*Basler!D121+$J$4*Generali!D121+$J$6*Mobiliar!D121+$J$7*Nationale!D121+$J$5*Helvetia!D121+$J$8*Pax!D121+$J$9*Phenix!D121+$J$10*Rentenanstalt!D121+$J$11*Winterthur!D121+$J$12*Zenith!D121+$J$13*Zuerich!D121</f>
        <v>132528.15076449266</v>
      </c>
      <c r="F121" s="5">
        <f>$J$2*'Allianz Suisse'!F121+$J$3*Basler!F121+$J$4*Generali!F121+$J$6*Mobiliar!F121+$J$7*Nationale!F121+$J$5*Helvetia!F121+$J$8*Pax!F121+$J$9*Phenix!F121+$J$10*Rentenanstalt!F121+$J$11*Winterthur!F121+$J$12*Zenith!F121+$J$13*Zuerich!F121</f>
        <v>-3101.739995792655</v>
      </c>
    </row>
    <row r="122" spans="1:6" ht="12.75">
      <c r="A122" s="25"/>
      <c r="B122" s="25"/>
      <c r="C122" s="25" t="s">
        <v>131</v>
      </c>
      <c r="D122" s="5">
        <f>$J$2*'Allianz Suisse'!D122+$J$3*Basler!D122+$J$4*Generali!D122+$J$6*Mobiliar!D122+$J$7*Nationale!D122+$J$5*Helvetia!D122+$J$8*Pax!D122+$J$9*Phenix!D122+$J$10*Rentenanstalt!D122+$J$11*Winterthur!D122+$J$12*Zenith!D122+$J$13*Zuerich!D122</f>
        <v>-327005.5278992156</v>
      </c>
      <c r="F122" s="5">
        <f>$J$2*'Allianz Suisse'!F122+$J$3*Basler!F122+$J$4*Generali!F122+$J$6*Mobiliar!F122+$J$7*Nationale!F122+$J$5*Helvetia!F122+$J$8*Pax!F122+$J$9*Phenix!F122+$J$10*Rentenanstalt!F122+$J$11*Winterthur!F122+$J$12*Zenith!F122+$J$13*Zuerich!F122</f>
        <v>-58824.01312721668</v>
      </c>
    </row>
    <row r="123" spans="1:6" ht="12.75">
      <c r="A123" s="25"/>
      <c r="B123" s="25"/>
      <c r="C123" s="25" t="s">
        <v>132</v>
      </c>
      <c r="D123" s="5">
        <f>$J$2*'Allianz Suisse'!D123+$J$3*Basler!D123+$J$4*Generali!D123+$J$6*Mobiliar!D123+$J$7*Nationale!D123+$J$5*Helvetia!D123+$J$8*Pax!D123+$J$9*Phenix!D123+$J$10*Rentenanstalt!D123+$J$11*Winterthur!D123+$J$12*Zenith!D123+$J$13*Zuerich!D123</f>
        <v>203123.491</v>
      </c>
      <c r="F123" s="5">
        <f>$J$2*'Allianz Suisse'!F123+$J$3*Basler!F123+$J$4*Generali!F123+$J$6*Mobiliar!F123+$J$7*Nationale!F123+$J$5*Helvetia!F123+$J$8*Pax!F123+$J$9*Phenix!F123+$J$10*Rentenanstalt!F123+$J$11*Winterthur!F123+$J$12*Zenith!F123+$J$13*Zuerich!F123</f>
        <v>75497.30099999999</v>
      </c>
    </row>
    <row r="124" spans="1:6" ht="12.75">
      <c r="A124" s="25"/>
      <c r="B124" s="25"/>
      <c r="C124" s="25" t="s">
        <v>133</v>
      </c>
      <c r="D124" s="5">
        <f>$J$2*'Allianz Suisse'!D124+$J$3*Basler!D124+$J$4*Generali!D124+$J$6*Mobiliar!D124+$J$7*Nationale!D124+$J$5*Helvetia!D124+$J$8*Pax!D124+$J$9*Phenix!D124+$J$10*Rentenanstalt!D124+$J$11*Winterthur!D124+$J$12*Zenith!D124+$J$13*Zuerich!D124</f>
        <v>70355</v>
      </c>
      <c r="F124" s="5">
        <f>$J$2*'Allianz Suisse'!F124+$J$3*Basler!F124+$J$4*Generali!F124+$J$6*Mobiliar!F124+$J$7*Nationale!F124+$J$5*Helvetia!F124+$J$8*Pax!F124+$J$9*Phenix!F124+$J$10*Rentenanstalt!F124+$J$11*Winterthur!F124+$J$12*Zenith!F124+$J$13*Zuerich!F124</f>
        <v>30645</v>
      </c>
    </row>
    <row r="125" spans="1:6" ht="12.75">
      <c r="A125" s="25"/>
      <c r="B125" s="25"/>
      <c r="C125" s="25" t="s">
        <v>134</v>
      </c>
      <c r="D125" s="5">
        <f>$J$2*'Allianz Suisse'!D125+$J$3*Basler!D125+$J$4*Generali!D125+$J$6*Mobiliar!D125+$J$7*Nationale!D125+$J$5*Helvetia!D125+$J$8*Pax!D125+$J$9*Phenix!D125+$J$10*Rentenanstalt!D125+$J$11*Winterthur!D125+$J$12*Zenith!D125+$J$13*Zuerich!D125</f>
        <v>2441</v>
      </c>
      <c r="F125" s="5">
        <f>$J$2*'Allianz Suisse'!F125+$J$3*Basler!F125+$J$4*Generali!F125+$J$6*Mobiliar!F125+$J$7*Nationale!F125+$J$5*Helvetia!F125+$J$8*Pax!F125+$J$9*Phenix!F125+$J$10*Rentenanstalt!F125+$J$11*Winterthur!F125+$J$12*Zenith!F125+$J$13*Zuerich!F125</f>
        <v>0</v>
      </c>
    </row>
    <row r="126" spans="1:7" ht="12.75">
      <c r="A126" s="25"/>
      <c r="B126" s="25"/>
      <c r="C126" s="25" t="s">
        <v>135</v>
      </c>
      <c r="D126" s="5">
        <f>$J$2*'Allianz Suisse'!D126+$J$3*Basler!D126+$J$4*Generali!D126+$J$6*Mobiliar!D126+$J$7*Nationale!D126+$J$5*Helvetia!D126+$J$8*Pax!D126+$J$9*Phenix!D126+$J$10*Rentenanstalt!D126+$J$11*Winterthur!D126+$J$12*Zenith!D126+$J$13*Zuerich!D126</f>
        <v>-5482</v>
      </c>
      <c r="E126" s="3">
        <f>SUM($D$119:$D$126)</f>
        <v>218593.34382716028</v>
      </c>
      <c r="F126" s="5">
        <f>$J$2*'Allianz Suisse'!F126+$J$3*Basler!F126+$J$4*Generali!F126+$J$6*Mobiliar!F126+$J$7*Nationale!F126+$J$5*Helvetia!F126+$J$8*Pax!F126+$J$9*Phenix!F126+$J$10*Rentenanstalt!F126+$J$11*Winterthur!F126+$J$12*Zenith!F126+$J$13*Zuerich!F126</f>
        <v>0</v>
      </c>
      <c r="G126" s="3">
        <f>SUM($F$119:$F$126)</f>
        <v>11978.697604914996</v>
      </c>
    </row>
    <row r="127" spans="1:5" ht="12.75">
      <c r="A127" s="25"/>
      <c r="B127" s="25" t="s">
        <v>58</v>
      </c>
      <c r="C127" s="25"/>
      <c r="E127" s="3">
        <f>$J$2*'Allianz Suisse'!E127+$J$3*Basler!E127+$J$4*Generali!E127+$J$6*Mobiliar!E127+$J$7*Nationale!E127+$J$5*Helvetia!E127+$J$8*Pax!E127+$J$9*Phenix!E127+$J$10*Rentenanstalt!E127+$J$11*Winterthur!E127+$J$12*Zenith!E127+$J$13*Zuerich!E127</f>
        <v>0</v>
      </c>
    </row>
    <row r="128" spans="1:7" ht="13.5" thickBot="1">
      <c r="A128" s="25"/>
      <c r="B128" s="25" t="s">
        <v>59</v>
      </c>
      <c r="C128" s="25"/>
      <c r="E128" s="54">
        <f>$J$2*'Allianz Suisse'!E128+$J$3*Basler!E128+$J$4*Generali!E128+$J$6*Mobiliar!E128+$J$7*Nationale!E128+$J$5*Helvetia!E128+$J$8*Pax!E128+$J$9*Phenix!E128+$J$10*Rentenanstalt!E128+$J$11*Winterthur!E128+$J$12*Zenith!E128+$J$13*Zuerich!E128</f>
        <v>842366</v>
      </c>
      <c r="G128" s="55">
        <f>$J$2*'Allianz Suisse'!G128+$J$3*Basler!G128+$J$4*Generali!G128+$J$6*Mobiliar!G128+$J$7*Nationale!G128+$J$5*Helvetia!G128+$J$8*Pax!G128+$J$9*Phenix!G128+$J$10*Rentenanstalt!G128+$J$11*Winterthur!G128+$J$12*Zenith!G128+$J$13*Zuerich!G128</f>
        <v>414337.6419204231</v>
      </c>
    </row>
    <row r="129" spans="1:7" ht="13.5" thickBot="1">
      <c r="A129" s="25"/>
      <c r="B129" s="25" t="s">
        <v>12</v>
      </c>
      <c r="C129" s="25"/>
      <c r="E129" s="55">
        <f>$E$117-SUM($E$126:$E$128)</f>
        <v>553035.1348815847</v>
      </c>
      <c r="G129" s="55">
        <f>$G$117-$G$126-$G$128</f>
        <v>140324.86879453989</v>
      </c>
    </row>
    <row r="130" spans="1:7" ht="12.75">
      <c r="A130" s="25"/>
      <c r="B130" s="25" t="s">
        <v>64</v>
      </c>
      <c r="C130" s="25"/>
      <c r="E130" s="57">
        <f>IF(E$112&gt;0,MIN(MAX((E$116+E$126+E$127+E$128)/E$112,0.9),1),0)</f>
        <v>0.9160420875604394</v>
      </c>
      <c r="G130" s="57">
        <f>IF(G$112&gt;0,MIN((G$116+G$126+G$127+G$128)/G$112,1),0)</f>
        <v>0.9049338194557822</v>
      </c>
    </row>
    <row r="131" spans="1:3" ht="12.75">
      <c r="A131" s="25"/>
      <c r="C131" s="25"/>
    </row>
    <row r="132" spans="1:6" ht="12.75">
      <c r="A132" s="25"/>
      <c r="B132" s="50" t="s">
        <v>60</v>
      </c>
      <c r="C132" s="25"/>
      <c r="F132" t="s">
        <v>141</v>
      </c>
    </row>
    <row r="133" spans="1:6" ht="12.75">
      <c r="A133" s="25"/>
      <c r="B133" s="25"/>
      <c r="C133" s="25" t="s">
        <v>61</v>
      </c>
      <c r="E133" s="3">
        <f>$E$129</f>
        <v>553035.1348815847</v>
      </c>
      <c r="F133" s="57">
        <f>IF($E$112&gt;0,$E$133/$E$112,0)</f>
        <v>0.08395791243956059</v>
      </c>
    </row>
    <row r="134" spans="1:6" ht="12.75">
      <c r="A134" s="25"/>
      <c r="B134" s="25"/>
      <c r="C134" s="25" t="s">
        <v>62</v>
      </c>
      <c r="E134" s="3">
        <f>$G$129</f>
        <v>140324.86879453989</v>
      </c>
      <c r="F134" s="57">
        <f>IF($G$112&gt;0,$E$134/$G$112,0)</f>
        <v>0.0950661805442177</v>
      </c>
    </row>
    <row r="135" spans="2:5" ht="12.75">
      <c r="B135" s="25"/>
      <c r="C135" s="25" t="s">
        <v>87</v>
      </c>
      <c r="E135" s="3">
        <f>SUM(E133:$E$134)</f>
        <v>693360.0036761246</v>
      </c>
    </row>
    <row r="137" spans="2:3" ht="12.75">
      <c r="B137" s="53" t="s">
        <v>137</v>
      </c>
      <c r="C137" s="52"/>
    </row>
    <row r="139" spans="2:3" ht="12.75">
      <c r="B139" s="25"/>
      <c r="C139" s="25"/>
    </row>
    <row r="140" ht="12.75">
      <c r="C140" s="25"/>
    </row>
  </sheetData>
  <sheetProtection/>
  <mergeCells count="4">
    <mergeCell ref="I1:K1"/>
    <mergeCell ref="K2:K13"/>
    <mergeCell ref="F109:G109"/>
    <mergeCell ref="D109:E109"/>
  </mergeCells>
  <conditionalFormatting sqref="E99">
    <cfRule type="expression" priority="1" dxfId="0" stopIfTrue="1">
      <formula>IF(E$100="",0,1)</formula>
    </cfRule>
  </conditionalFormatting>
  <conditionalFormatting sqref="J2:J13">
    <cfRule type="cellIs" priority="2" dxfId="1" operator="equal" stopIfTrue="1">
      <formula>1</formula>
    </cfRule>
  </conditionalFormatting>
  <conditionalFormatting sqref="E94">
    <cfRule type="expression" priority="3" dxfId="2" stopIfTrue="1">
      <formula>IF($C$93=0,0,1)</formula>
    </cfRule>
  </conditionalFormatting>
  <printOptions/>
  <pageMargins left="0.42" right="0.16" top="0.71" bottom="0.55" header="0.4921259845" footer="0.18"/>
  <pageSetup fitToHeight="2" horizontalDpi="300" verticalDpi="300" orientation="portrait" paperSize="9" scale="81" r:id="rId1"/>
  <headerFooter alignWithMargins="0">
    <oddFooter>&amp;L&amp;D   &amp;T</oddFooter>
  </headerFooter>
  <rowBreaks count="1" manualBreakCount="1">
    <brk id="7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tabColor indexed="1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47" t="s">
        <v>69</v>
      </c>
      <c r="B1" s="47"/>
      <c r="C1" s="25"/>
    </row>
    <row r="2" spans="1:3" ht="12.75">
      <c r="A2" s="25" t="s">
        <v>0</v>
      </c>
      <c r="B2" s="25"/>
      <c r="C2" s="25"/>
    </row>
    <row r="3" spans="1:3" ht="12.75">
      <c r="A3" s="48" t="s">
        <v>45</v>
      </c>
      <c r="B3" s="48"/>
      <c r="C3" s="25"/>
    </row>
    <row r="4" spans="1:3" ht="12.75">
      <c r="A4" s="25"/>
      <c r="B4" s="25"/>
      <c r="C4" s="25"/>
    </row>
    <row r="5" spans="1:3" ht="12.75">
      <c r="A5" s="25" t="s">
        <v>38</v>
      </c>
      <c r="B5" s="25"/>
      <c r="C5" s="25"/>
    </row>
    <row r="6" spans="1:3" ht="12.75">
      <c r="A6" s="25"/>
      <c r="B6" s="25"/>
      <c r="C6" s="25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</v>
      </c>
      <c r="F8" s="2" t="s">
        <v>2</v>
      </c>
      <c r="G8" s="2"/>
    </row>
    <row r="9" spans="1:3" ht="12.75">
      <c r="A9" s="48" t="s">
        <v>70</v>
      </c>
      <c r="B9" s="48"/>
      <c r="C9" s="25"/>
    </row>
    <row r="10" spans="1:6" ht="12.75">
      <c r="A10" s="48" t="s">
        <v>71</v>
      </c>
      <c r="B10" s="25"/>
      <c r="C10" s="25"/>
      <c r="E10" s="1"/>
      <c r="F10" s="1"/>
    </row>
    <row r="11" spans="1:3" ht="12.75">
      <c r="A11" s="25"/>
      <c r="B11" s="50" t="s">
        <v>75</v>
      </c>
      <c r="C11" s="25"/>
    </row>
    <row r="12" spans="1:6" ht="12.75">
      <c r="A12" s="25"/>
      <c r="B12" s="25"/>
      <c r="C12" s="25" t="s">
        <v>3</v>
      </c>
      <c r="E12" s="5">
        <f>$F$14-E$13-E$14</f>
        <v>17833</v>
      </c>
      <c r="F12" s="1"/>
    </row>
    <row r="13" spans="1:6" ht="12.75">
      <c r="A13" s="25"/>
      <c r="B13" s="25"/>
      <c r="C13" s="25" t="s">
        <v>4</v>
      </c>
      <c r="E13" s="5">
        <v>2130</v>
      </c>
      <c r="F13" s="1"/>
    </row>
    <row r="14" spans="1:6" ht="12.75">
      <c r="A14" s="25"/>
      <c r="B14" s="25"/>
      <c r="C14" s="25" t="s">
        <v>5</v>
      </c>
      <c r="E14" s="5">
        <v>744</v>
      </c>
      <c r="F14" s="3">
        <v>20707</v>
      </c>
    </row>
    <row r="15" spans="1:6" ht="12.75">
      <c r="A15" s="25"/>
      <c r="B15" s="50" t="s">
        <v>72</v>
      </c>
      <c r="C15" s="25"/>
      <c r="E15" s="1"/>
      <c r="F15" s="1"/>
    </row>
    <row r="16" spans="1:6" ht="12.75">
      <c r="A16" s="25"/>
      <c r="B16" s="25"/>
      <c r="C16" s="25" t="s">
        <v>72</v>
      </c>
      <c r="E16" s="5">
        <v>3781</v>
      </c>
      <c r="F16" s="1"/>
    </row>
    <row r="17" spans="1:6" ht="12.75">
      <c r="A17" s="25"/>
      <c r="B17" s="25"/>
      <c r="C17" s="25" t="s">
        <v>73</v>
      </c>
      <c r="E17" s="5">
        <v>50</v>
      </c>
      <c r="F17" s="1"/>
    </row>
    <row r="18" spans="1:6" ht="12.75">
      <c r="A18" s="25"/>
      <c r="B18" s="25"/>
      <c r="C18" s="25" t="s">
        <v>74</v>
      </c>
      <c r="E18" s="5">
        <v>167</v>
      </c>
      <c r="F18" s="3">
        <f>$E$16-$E$17-$E$18</f>
        <v>3564</v>
      </c>
    </row>
    <row r="19" spans="1:6" ht="12.75">
      <c r="A19" s="25"/>
      <c r="B19" s="25" t="s">
        <v>76</v>
      </c>
      <c r="C19" s="25"/>
      <c r="F19" s="3">
        <v>0</v>
      </c>
    </row>
    <row r="20" spans="1:6" ht="13.5" thickBot="1">
      <c r="A20" s="25"/>
      <c r="B20" s="25" t="s">
        <v>77</v>
      </c>
      <c r="C20" s="25"/>
      <c r="E20" s="6"/>
      <c r="F20" s="54">
        <v>-284</v>
      </c>
    </row>
    <row r="21" spans="1:6" ht="13.5" thickBot="1">
      <c r="A21" s="25"/>
      <c r="B21" s="47" t="s">
        <v>78</v>
      </c>
      <c r="C21" s="25"/>
      <c r="E21" s="6"/>
      <c r="F21" s="55">
        <f>$F$14+$F$18+$F$19+$F$20</f>
        <v>23987</v>
      </c>
    </row>
    <row r="22" spans="1:5" ht="12.75">
      <c r="A22" s="25"/>
      <c r="B22" s="25"/>
      <c r="C22" s="25"/>
      <c r="E22" s="6"/>
    </row>
    <row r="23" spans="1:6" ht="12.75">
      <c r="A23" s="48" t="s">
        <v>79</v>
      </c>
      <c r="B23" s="25"/>
      <c r="C23" s="25"/>
      <c r="E23" s="6"/>
      <c r="F23" s="1"/>
    </row>
    <row r="24" spans="1:6" ht="12.75">
      <c r="A24" s="25"/>
      <c r="B24" s="50" t="s">
        <v>6</v>
      </c>
      <c r="C24" s="25"/>
      <c r="E24" s="6"/>
      <c r="F24" s="1"/>
    </row>
    <row r="25" spans="1:6" ht="12.75">
      <c r="A25" s="25"/>
      <c r="B25" s="25"/>
      <c r="C25" s="25" t="s">
        <v>7</v>
      </c>
      <c r="E25" s="5">
        <v>2089</v>
      </c>
      <c r="F25" s="1"/>
    </row>
    <row r="26" spans="1:6" ht="12.75">
      <c r="A26" s="25"/>
      <c r="B26" s="25"/>
      <c r="C26" s="25" t="s">
        <v>8</v>
      </c>
      <c r="E26" s="5">
        <v>6790</v>
      </c>
      <c r="F26" s="1"/>
    </row>
    <row r="27" spans="1:6" ht="12.75">
      <c r="A27" s="25"/>
      <c r="B27" s="25"/>
      <c r="C27" s="25" t="s">
        <v>80</v>
      </c>
      <c r="E27" s="5">
        <v>2739</v>
      </c>
      <c r="F27" s="3">
        <f>SUM($E$25:$E$27)</f>
        <v>11618</v>
      </c>
    </row>
    <row r="28" spans="1:5" ht="12.75">
      <c r="A28" s="25"/>
      <c r="B28" s="50" t="s">
        <v>81</v>
      </c>
      <c r="C28" s="25"/>
      <c r="E28" s="1"/>
    </row>
    <row r="29" spans="1:6" ht="12.75">
      <c r="A29" s="25"/>
      <c r="B29" s="25"/>
      <c r="C29" s="25" t="s">
        <v>82</v>
      </c>
      <c r="E29" s="5">
        <v>8730</v>
      </c>
      <c r="F29" s="1"/>
    </row>
    <row r="30" spans="1:6" ht="12.75">
      <c r="A30" s="25"/>
      <c r="B30" s="25"/>
      <c r="C30" s="25" t="s">
        <v>83</v>
      </c>
      <c r="E30" s="5">
        <v>2810</v>
      </c>
      <c r="F30" s="1"/>
    </row>
    <row r="31" spans="1:6" ht="12.75">
      <c r="A31" s="25"/>
      <c r="B31" s="25"/>
      <c r="C31" s="25" t="s">
        <v>84</v>
      </c>
      <c r="D31" s="1"/>
      <c r="E31" s="5">
        <v>-644</v>
      </c>
      <c r="F31" s="1"/>
    </row>
    <row r="32" spans="1:6" ht="12.75">
      <c r="A32" s="25"/>
      <c r="B32" s="25"/>
      <c r="C32" s="25" t="s">
        <v>85</v>
      </c>
      <c r="D32" s="1"/>
      <c r="E32" s="5">
        <f>$F$32-SUM($E$29:$E$31)</f>
        <v>-544</v>
      </c>
      <c r="F32" s="3">
        <v>10352</v>
      </c>
    </row>
    <row r="33" spans="1:6" ht="12.75">
      <c r="A33" s="25"/>
      <c r="B33" s="50" t="s">
        <v>9</v>
      </c>
      <c r="C33" s="25"/>
      <c r="D33" s="1"/>
      <c r="E33" s="1"/>
      <c r="F33" s="3">
        <v>2141</v>
      </c>
    </row>
    <row r="34" spans="1:6" ht="12.75">
      <c r="A34" s="25"/>
      <c r="B34" s="25" t="s">
        <v>86</v>
      </c>
      <c r="C34" s="25"/>
      <c r="E34" s="1"/>
      <c r="F34" s="3">
        <v>0</v>
      </c>
    </row>
    <row r="35" spans="1:6" ht="12.75">
      <c r="A35" s="25"/>
      <c r="B35" s="25" t="s">
        <v>10</v>
      </c>
      <c r="C35" s="25"/>
      <c r="E35" s="1"/>
      <c r="F35" s="3">
        <v>0</v>
      </c>
    </row>
    <row r="36" spans="1:6" ht="12.75">
      <c r="A36" s="25"/>
      <c r="B36" s="25" t="s">
        <v>11</v>
      </c>
      <c r="C36" s="25"/>
      <c r="F36" s="3">
        <v>0</v>
      </c>
    </row>
    <row r="37" spans="1:6" ht="13.5" thickBot="1">
      <c r="A37" s="25"/>
      <c r="B37" s="25" t="s">
        <v>87</v>
      </c>
      <c r="C37" s="25"/>
      <c r="F37" s="54">
        <f>$F$38-($F$27+SUM($F$32:$F$36))</f>
        <v>-124</v>
      </c>
    </row>
    <row r="38" spans="1:6" ht="13.5" thickBot="1">
      <c r="A38" s="25"/>
      <c r="B38" s="25" t="s">
        <v>88</v>
      </c>
      <c r="C38" s="25"/>
      <c r="F38" s="55">
        <f>$F$14+$F$18+$F$19+$F$20</f>
        <v>23987</v>
      </c>
    </row>
    <row r="39" spans="1:3" ht="12.75">
      <c r="A39" s="25"/>
      <c r="B39" s="25"/>
      <c r="C39" s="25"/>
    </row>
    <row r="40" spans="1:6" ht="12.75">
      <c r="A40" s="48" t="s">
        <v>89</v>
      </c>
      <c r="B40" s="25"/>
      <c r="C40" s="25"/>
      <c r="E40" s="1"/>
      <c r="F40" s="1"/>
    </row>
    <row r="41" spans="1:6" ht="12.75">
      <c r="A41" s="48" t="s">
        <v>90</v>
      </c>
      <c r="B41" s="25"/>
      <c r="C41" s="25"/>
      <c r="E41" s="1"/>
      <c r="F41" s="1"/>
    </row>
    <row r="42" spans="1:6" ht="12.75">
      <c r="A42" s="25"/>
      <c r="B42" s="50" t="s">
        <v>91</v>
      </c>
      <c r="C42" s="25"/>
      <c r="F42" s="1"/>
    </row>
    <row r="43" spans="1:7" ht="12.75">
      <c r="A43" s="25"/>
      <c r="B43" s="25"/>
      <c r="C43" s="25" t="s">
        <v>27</v>
      </c>
      <c r="E43" s="5">
        <v>6591</v>
      </c>
      <c r="F43" s="56" t="s">
        <v>138</v>
      </c>
      <c r="G43" s="57">
        <f>IF(E43&gt;0,E43/$F$50,0)</f>
        <v>0.05750104690117253</v>
      </c>
    </row>
    <row r="44" spans="1:7" ht="12.75">
      <c r="A44" s="25"/>
      <c r="B44" s="25"/>
      <c r="C44" s="25" t="s">
        <v>28</v>
      </c>
      <c r="E44" s="5">
        <v>97658</v>
      </c>
      <c r="F44" s="56" t="s">
        <v>138</v>
      </c>
      <c r="G44" s="57">
        <f aca="true" t="shared" si="0" ref="G44:G50">IF(E44&gt;0,E44/$F$50,0)</f>
        <v>0.8519856225572306</v>
      </c>
    </row>
    <row r="45" spans="1:7" ht="12.75">
      <c r="A45" s="25"/>
      <c r="B45" s="25"/>
      <c r="C45" s="25" t="s">
        <v>29</v>
      </c>
      <c r="E45" s="5">
        <v>380</v>
      </c>
      <c r="F45" s="56" t="s">
        <v>138</v>
      </c>
      <c r="G45" s="57">
        <f t="shared" si="0"/>
        <v>0.0033151870463428252</v>
      </c>
    </row>
    <row r="46" spans="1:7" ht="12.75">
      <c r="A46" s="25"/>
      <c r="B46" s="25"/>
      <c r="C46" s="25" t="s">
        <v>30</v>
      </c>
      <c r="E46" s="5">
        <v>1390</v>
      </c>
      <c r="F46" s="56" t="s">
        <v>138</v>
      </c>
      <c r="G46" s="57">
        <f t="shared" si="0"/>
        <v>0.012126605248464544</v>
      </c>
    </row>
    <row r="47" spans="1:7" ht="12.75">
      <c r="A47" s="25"/>
      <c r="B47" s="25"/>
      <c r="C47" s="25" t="s">
        <v>31</v>
      </c>
      <c r="E47" s="5">
        <v>0</v>
      </c>
      <c r="F47" s="56" t="s">
        <v>138</v>
      </c>
      <c r="G47" s="57">
        <f t="shared" si="0"/>
        <v>0</v>
      </c>
    </row>
    <row r="48" spans="1:7" ht="12.75">
      <c r="A48" s="25"/>
      <c r="B48" s="25"/>
      <c r="C48" s="25" t="s">
        <v>32</v>
      </c>
      <c r="E48" s="5">
        <v>0</v>
      </c>
      <c r="F48" s="56" t="s">
        <v>138</v>
      </c>
      <c r="G48" s="57">
        <f t="shared" si="0"/>
        <v>0</v>
      </c>
    </row>
    <row r="49" spans="1:7" ht="12.75">
      <c r="A49" s="25"/>
      <c r="B49" s="25"/>
      <c r="C49" s="25" t="s">
        <v>33</v>
      </c>
      <c r="E49" s="5">
        <v>8605</v>
      </c>
      <c r="F49" s="56" t="s">
        <v>138</v>
      </c>
      <c r="G49" s="57">
        <f t="shared" si="0"/>
        <v>0.0750715382467895</v>
      </c>
    </row>
    <row r="50" spans="1:7" ht="13.5" thickBot="1">
      <c r="A50" s="25"/>
      <c r="B50" s="25"/>
      <c r="C50" s="25" t="s">
        <v>34</v>
      </c>
      <c r="E50" s="5">
        <v>0</v>
      </c>
      <c r="F50" s="55">
        <f>SUM($E$43:$E$50)</f>
        <v>114624</v>
      </c>
      <c r="G50" s="57">
        <f t="shared" si="0"/>
        <v>0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92</v>
      </c>
      <c r="B52" s="25"/>
      <c r="C52" s="25"/>
      <c r="E52" s="6"/>
      <c r="F52" s="6"/>
    </row>
    <row r="53" spans="1:3" ht="12.75">
      <c r="A53" s="25"/>
      <c r="B53" s="50" t="s">
        <v>93</v>
      </c>
      <c r="C53" s="25"/>
    </row>
    <row r="54" spans="1:5" ht="12.75">
      <c r="A54" s="25"/>
      <c r="B54" s="25"/>
      <c r="C54" s="25" t="s">
        <v>82</v>
      </c>
      <c r="E54" s="5">
        <v>83932</v>
      </c>
    </row>
    <row r="55" spans="1:5" ht="12.75">
      <c r="A55" s="25"/>
      <c r="B55" s="25"/>
      <c r="C55" s="25" t="s">
        <v>83</v>
      </c>
      <c r="E55" s="5">
        <v>16533</v>
      </c>
    </row>
    <row r="56" spans="1:5" ht="12.75">
      <c r="A56" s="25"/>
      <c r="B56" s="25"/>
      <c r="C56" s="25" t="s">
        <v>84</v>
      </c>
      <c r="E56" s="5">
        <v>5792</v>
      </c>
    </row>
    <row r="57" spans="1:6" ht="12.75">
      <c r="A57" s="25"/>
      <c r="B57" s="25"/>
      <c r="C57" s="25" t="s">
        <v>94</v>
      </c>
      <c r="E57" s="5">
        <v>2445</v>
      </c>
      <c r="F57" s="3">
        <f>SUM($E$54:$E$57)</f>
        <v>108702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95</v>
      </c>
      <c r="B59" s="25"/>
      <c r="C59" s="25"/>
      <c r="E59" s="1"/>
      <c r="F59" s="1"/>
    </row>
    <row r="60" spans="1:6" ht="12.75">
      <c r="A60" s="25"/>
      <c r="B60" s="25"/>
      <c r="C60" s="25" t="s">
        <v>13</v>
      </c>
      <c r="F60" s="3">
        <v>74</v>
      </c>
    </row>
    <row r="61" spans="1:6" ht="12.75">
      <c r="A61" s="25"/>
      <c r="B61" s="25"/>
      <c r="C61" s="25" t="s">
        <v>14</v>
      </c>
      <c r="F61" s="3">
        <f>$F$36</f>
        <v>0</v>
      </c>
    </row>
    <row r="62" spans="1:6" ht="12.75">
      <c r="A62" s="25"/>
      <c r="B62" s="25"/>
      <c r="C62" s="25" t="s">
        <v>139</v>
      </c>
      <c r="F62" s="3">
        <v>0</v>
      </c>
    </row>
    <row r="63" spans="1:6" ht="12.75">
      <c r="A63" s="25"/>
      <c r="B63" s="25"/>
      <c r="C63" s="25" t="s">
        <v>15</v>
      </c>
      <c r="E63" s="5">
        <v>0</v>
      </c>
      <c r="F63" s="1"/>
    </row>
    <row r="64" spans="1:6" ht="13.5" thickBot="1">
      <c r="A64" s="25"/>
      <c r="B64" s="25"/>
      <c r="C64" s="25" t="s">
        <v>96</v>
      </c>
      <c r="E64" s="5">
        <v>0</v>
      </c>
      <c r="F64" s="55">
        <f>$E$64+$E$63</f>
        <v>0</v>
      </c>
    </row>
    <row r="65" spans="1:6" ht="13.5" thickBot="1">
      <c r="A65" s="25"/>
      <c r="B65" s="25"/>
      <c r="C65" s="25" t="s">
        <v>16</v>
      </c>
      <c r="F65" s="55">
        <f>$F$60+$F$61+$F$62-$F$64</f>
        <v>74</v>
      </c>
    </row>
    <row r="66" spans="1:6" ht="12.75">
      <c r="A66" s="25"/>
      <c r="B66" s="25"/>
      <c r="C66" s="25"/>
      <c r="F66" s="1"/>
    </row>
    <row r="67" spans="1:6" ht="12.75">
      <c r="A67" s="48" t="s">
        <v>97</v>
      </c>
      <c r="B67" s="25"/>
      <c r="C67" s="25"/>
      <c r="F67" s="1"/>
    </row>
    <row r="68" spans="1:6" ht="12.75">
      <c r="A68" s="25"/>
      <c r="B68" s="25"/>
      <c r="C68" s="25" t="s">
        <v>13</v>
      </c>
      <c r="E68" s="26"/>
      <c r="F68" s="3">
        <v>2276</v>
      </c>
    </row>
    <row r="69" spans="1:6" ht="12.75">
      <c r="A69" s="25"/>
      <c r="B69" s="25"/>
      <c r="C69" s="25" t="s">
        <v>54</v>
      </c>
      <c r="E69" s="5">
        <v>86</v>
      </c>
      <c r="F69" s="58"/>
    </row>
    <row r="70" spans="1:6" ht="12.75">
      <c r="A70" s="25"/>
      <c r="B70" s="25"/>
      <c r="C70" s="25" t="s">
        <v>98</v>
      </c>
      <c r="E70" s="5">
        <v>29</v>
      </c>
      <c r="F70" s="3">
        <f>$E$69+$E$70</f>
        <v>115</v>
      </c>
    </row>
    <row r="71" spans="1:6" ht="12.75">
      <c r="A71" s="25"/>
      <c r="B71" s="25"/>
      <c r="C71" s="25" t="s">
        <v>55</v>
      </c>
      <c r="E71" s="5">
        <v>23</v>
      </c>
      <c r="F71" s="60"/>
    </row>
    <row r="72" spans="1:6" ht="13.5" thickBot="1">
      <c r="A72" s="49"/>
      <c r="B72" s="49"/>
      <c r="C72" s="25" t="s">
        <v>99</v>
      </c>
      <c r="E72" s="5">
        <v>0</v>
      </c>
      <c r="F72" s="55">
        <f>$E$72+$E$71</f>
        <v>23</v>
      </c>
    </row>
    <row r="73" spans="1:6" ht="13.5" thickBot="1">
      <c r="A73" s="49"/>
      <c r="B73" s="49"/>
      <c r="C73" s="25" t="s">
        <v>16</v>
      </c>
      <c r="E73" s="26"/>
      <c r="F73" s="55">
        <f>$F$68+$F$70-$F$72</f>
        <v>2368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100</v>
      </c>
      <c r="B75" s="49"/>
      <c r="C75" s="25"/>
      <c r="E75" s="60"/>
      <c r="F75" s="61"/>
    </row>
    <row r="76" spans="1:7" ht="13.5" thickBot="1">
      <c r="A76" s="25"/>
      <c r="B76" s="25" t="s">
        <v>17</v>
      </c>
      <c r="C76" s="25" t="s">
        <v>101</v>
      </c>
      <c r="D76" s="26"/>
      <c r="E76" s="55">
        <f>$E$16-$E$17</f>
        <v>3731</v>
      </c>
      <c r="F76" s="55">
        <f>$F$18</f>
        <v>3564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12.75">
      <c r="A78" s="25"/>
      <c r="B78" s="25" t="s">
        <v>20</v>
      </c>
      <c r="C78" s="25" t="s">
        <v>102</v>
      </c>
      <c r="D78" s="26"/>
      <c r="E78" s="58" t="s">
        <v>18</v>
      </c>
      <c r="F78" s="58" t="s">
        <v>19</v>
      </c>
      <c r="G78" s="26"/>
    </row>
    <row r="79" spans="1:7" ht="12.75">
      <c r="A79" s="25"/>
      <c r="B79" s="25"/>
      <c r="C79" s="25" t="s">
        <v>21</v>
      </c>
      <c r="D79" s="26"/>
      <c r="E79" s="3">
        <v>102139</v>
      </c>
      <c r="F79" s="3">
        <v>104754</v>
      </c>
      <c r="G79" s="26"/>
    </row>
    <row r="80" spans="1:7" ht="12.75">
      <c r="A80" s="25"/>
      <c r="B80" s="25"/>
      <c r="C80" s="25" t="s">
        <v>23</v>
      </c>
      <c r="D80" s="26"/>
      <c r="E80" s="3">
        <v>114624</v>
      </c>
      <c r="F80" s="3">
        <v>114935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22</v>
      </c>
      <c r="C82" s="25" t="s">
        <v>103</v>
      </c>
      <c r="D82" s="59"/>
      <c r="E82" s="26"/>
      <c r="F82" s="59"/>
      <c r="G82" s="26"/>
    </row>
    <row r="83" spans="1:7" ht="13.5" thickBot="1">
      <c r="A83" s="25"/>
      <c r="B83" s="25"/>
      <c r="C83" s="25" t="s">
        <v>104</v>
      </c>
      <c r="D83" s="59"/>
      <c r="E83" s="61"/>
      <c r="F83" s="55">
        <f>$F$79-$E$79</f>
        <v>2615</v>
      </c>
      <c r="G83" s="61"/>
    </row>
    <row r="84" spans="1:7" ht="13.5" thickBot="1">
      <c r="A84" s="25"/>
      <c r="B84" s="25"/>
      <c r="C84" s="25" t="s">
        <v>105</v>
      </c>
      <c r="D84" s="26"/>
      <c r="E84" s="26"/>
      <c r="F84" s="55">
        <f>$F$80-$E$80</f>
        <v>311</v>
      </c>
      <c r="G84" s="26"/>
    </row>
    <row r="85" spans="1:7" ht="13.5" thickBot="1">
      <c r="A85" s="25"/>
      <c r="B85" s="25"/>
      <c r="C85" s="25" t="s">
        <v>106</v>
      </c>
      <c r="D85" s="59"/>
      <c r="E85" s="26"/>
      <c r="F85" s="55">
        <f>$F$84-$F$83</f>
        <v>-2304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24</v>
      </c>
      <c r="C87" s="25" t="s">
        <v>107</v>
      </c>
      <c r="D87" s="59"/>
      <c r="E87" s="57">
        <f>IF($E$79+$E$80&gt;0,E$76/(($E$79+$E$80)/2),0)</f>
        <v>0.03442469425132518</v>
      </c>
      <c r="F87" s="57">
        <f>IF($E$79+$E$80&gt;0,F$76/(($E$79+$E$80)/2),0)</f>
        <v>0.03288384087690242</v>
      </c>
      <c r="G87" s="61"/>
    </row>
    <row r="88" spans="1:7" ht="12.75">
      <c r="A88" s="25"/>
      <c r="B88" s="25" t="s">
        <v>25</v>
      </c>
      <c r="C88" s="25" t="s">
        <v>108</v>
      </c>
      <c r="D88" s="26"/>
      <c r="E88" s="57">
        <f>IF($F$79+$F$80&gt;0,(E$76+($F$80-$E$80)-($F$79-$E$79))/(($F$79+$F$80)/2),0)</f>
        <v>0.012991091952714974</v>
      </c>
      <c r="F88" s="57">
        <f>IF($F$79+$F$80&gt;0,(F$76+($F$80-$E$80)-($F$79-$E$79))/(($F$79+$F$80)/2),0)</f>
        <v>0.011470760939327867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26</v>
      </c>
      <c r="C90" s="25" t="s">
        <v>109</v>
      </c>
      <c r="D90" s="26"/>
      <c r="E90" s="59"/>
      <c r="F90" s="26"/>
      <c r="G90" s="62"/>
    </row>
    <row r="91" spans="1:7" ht="12.75">
      <c r="A91" s="25"/>
      <c r="B91" s="25"/>
      <c r="C91" s="25" t="s">
        <v>110</v>
      </c>
      <c r="D91" s="26"/>
      <c r="E91" s="68"/>
      <c r="F91" s="67">
        <v>0.05835</v>
      </c>
      <c r="G91" s="59"/>
    </row>
    <row r="92" spans="1:7" ht="12.75">
      <c r="A92" s="25"/>
      <c r="B92" s="25"/>
      <c r="C92" s="25" t="s">
        <v>111</v>
      </c>
      <c r="D92" s="26"/>
      <c r="E92" s="68"/>
      <c r="F92" s="67">
        <v>0.05574</v>
      </c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35</v>
      </c>
      <c r="C94" s="25" t="s">
        <v>37</v>
      </c>
      <c r="D94" s="26"/>
      <c r="E94" s="64"/>
      <c r="F94" s="26"/>
      <c r="G94" s="65"/>
    </row>
    <row r="95" spans="1:7" ht="12.75">
      <c r="A95" s="25"/>
      <c r="B95" s="25"/>
      <c r="C95" s="25" t="s">
        <v>112</v>
      </c>
      <c r="D95" s="26"/>
      <c r="E95" s="26"/>
      <c r="F95" s="8">
        <v>1789</v>
      </c>
      <c r="G95" s="26"/>
    </row>
    <row r="96" spans="1:7" ht="12.75">
      <c r="A96" s="25"/>
      <c r="B96" s="25"/>
      <c r="C96" s="25" t="s">
        <v>113</v>
      </c>
      <c r="D96" s="26"/>
      <c r="E96" s="26"/>
      <c r="F96" s="8">
        <v>153</v>
      </c>
      <c r="G96" s="26"/>
    </row>
    <row r="97" spans="1:7" ht="13.5" thickBot="1">
      <c r="A97" s="25"/>
      <c r="B97" s="25"/>
      <c r="C97" s="25" t="s">
        <v>114</v>
      </c>
      <c r="D97" s="26"/>
      <c r="E97" s="61"/>
      <c r="F97" s="69">
        <v>574</v>
      </c>
      <c r="G97" s="26"/>
    </row>
    <row r="98" spans="1:7" ht="13.5" thickBot="1">
      <c r="A98" s="25"/>
      <c r="B98" s="25"/>
      <c r="C98" s="25" t="s">
        <v>115</v>
      </c>
      <c r="D98" s="26"/>
      <c r="E98" s="61"/>
      <c r="F98" s="70">
        <f>SUM($F$95:$F$97)</f>
        <v>2516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36</v>
      </c>
      <c r="C100" s="25" t="s">
        <v>43</v>
      </c>
    </row>
    <row r="101" spans="1:6" ht="12.75">
      <c r="A101" s="25"/>
      <c r="B101" s="25"/>
      <c r="C101" s="25" t="s">
        <v>116</v>
      </c>
      <c r="F101" s="3">
        <f>$E$18</f>
        <v>167</v>
      </c>
    </row>
    <row r="102" spans="1:6" ht="12.75">
      <c r="A102" s="25"/>
      <c r="B102" s="25"/>
      <c r="C102" s="25" t="s">
        <v>117</v>
      </c>
      <c r="F102" s="57">
        <f>IF($F$101&gt;0,$F$101/(($F$79+$F$80)/2),0)</f>
        <v>0.0015203310133871063</v>
      </c>
    </row>
    <row r="103" spans="1:5" ht="12.75">
      <c r="A103" s="25"/>
      <c r="B103" s="25"/>
      <c r="C103" s="25" t="s">
        <v>9</v>
      </c>
      <c r="E103" s="5">
        <v>2141</v>
      </c>
    </row>
    <row r="104" spans="1:6" ht="13.5" thickBot="1">
      <c r="A104" s="25"/>
      <c r="B104" s="25"/>
      <c r="C104" s="25" t="s">
        <v>118</v>
      </c>
      <c r="E104" s="5">
        <v>0</v>
      </c>
      <c r="F104" s="55">
        <f>$E$103-$E$104</f>
        <v>2141</v>
      </c>
    </row>
    <row r="105" spans="1:6" ht="12.75">
      <c r="A105" s="25"/>
      <c r="B105" s="25"/>
      <c r="C105" s="25" t="s">
        <v>119</v>
      </c>
      <c r="F105" s="3">
        <f>IF(F$98&gt;0,(1000*F$104)/F$98,0)</f>
        <v>850.9538950715421</v>
      </c>
    </row>
    <row r="106" spans="1:6" ht="12.75">
      <c r="A106" s="25"/>
      <c r="B106" s="25"/>
      <c r="C106" s="25" t="s">
        <v>120</v>
      </c>
      <c r="F106" s="3">
        <f>IF($F$98&gt;0,$E$14*1000/$F$98,0)</f>
        <v>295.7074721780604</v>
      </c>
    </row>
    <row r="107" spans="1:3" ht="12.75">
      <c r="A107" s="25"/>
      <c r="B107" s="25"/>
      <c r="C107" s="25"/>
    </row>
    <row r="108" spans="1:3" ht="12.75">
      <c r="A108" s="48" t="s">
        <v>144</v>
      </c>
      <c r="B108" s="25"/>
      <c r="C108" s="25"/>
    </row>
    <row r="109" spans="1:7" ht="12.75">
      <c r="A109" s="25"/>
      <c r="B109" s="50" t="s">
        <v>56</v>
      </c>
      <c r="C109" s="25"/>
      <c r="D109" s="108" t="s">
        <v>142</v>
      </c>
      <c r="E109" s="108"/>
      <c r="F109" s="108" t="s">
        <v>143</v>
      </c>
      <c r="G109" s="108"/>
    </row>
    <row r="110" spans="1:6" ht="12.75">
      <c r="A110" s="25"/>
      <c r="B110" s="25"/>
      <c r="C110" s="25" t="s">
        <v>121</v>
      </c>
      <c r="D110" s="89">
        <v>3564</v>
      </c>
      <c r="F110" s="89">
        <v>0</v>
      </c>
    </row>
    <row r="111" spans="1:6" ht="12.75">
      <c r="A111" s="25"/>
      <c r="B111" s="25"/>
      <c r="C111" s="25" t="s">
        <v>122</v>
      </c>
      <c r="D111" s="5">
        <v>2130</v>
      </c>
      <c r="F111" s="5">
        <v>0</v>
      </c>
    </row>
    <row r="112" spans="1:7" ht="12.75">
      <c r="A112" s="25"/>
      <c r="B112" s="25"/>
      <c r="C112" s="25" t="s">
        <v>123</v>
      </c>
      <c r="D112" s="5">
        <v>744</v>
      </c>
      <c r="E112" s="3">
        <f>SUM($D$110:$D$112)</f>
        <v>6438</v>
      </c>
      <c r="F112" s="5">
        <v>0</v>
      </c>
      <c r="G112" s="3">
        <f>SUM($F$110:$F$112)</f>
        <v>0</v>
      </c>
    </row>
    <row r="113" spans="1:3" ht="12.75">
      <c r="A113" s="25"/>
      <c r="B113" s="50" t="s">
        <v>57</v>
      </c>
      <c r="C113" s="25"/>
    </row>
    <row r="114" spans="1:6" ht="12.75">
      <c r="A114" s="25"/>
      <c r="B114" s="25"/>
      <c r="C114" s="25" t="s">
        <v>124</v>
      </c>
      <c r="D114" s="5">
        <v>2360</v>
      </c>
      <c r="F114" s="5">
        <v>0</v>
      </c>
    </row>
    <row r="115" spans="1:6" ht="12.75">
      <c r="A115" s="25"/>
      <c r="B115" s="25"/>
      <c r="C115" s="25" t="s">
        <v>125</v>
      </c>
      <c r="D115" s="5">
        <v>2597</v>
      </c>
      <c r="F115" s="5">
        <v>0</v>
      </c>
    </row>
    <row r="116" spans="1:7" ht="12.75">
      <c r="A116" s="25"/>
      <c r="B116" s="25"/>
      <c r="C116" s="25" t="s">
        <v>126</v>
      </c>
      <c r="D116" s="5">
        <v>1522</v>
      </c>
      <c r="E116" s="3">
        <f>SUM($D$114:$D$116)</f>
        <v>6479</v>
      </c>
      <c r="F116" s="5">
        <v>0</v>
      </c>
      <c r="G116" s="3">
        <f>SUM($F$114:$F$116)</f>
        <v>0</v>
      </c>
    </row>
    <row r="117" spans="1:7" ht="14.25">
      <c r="A117" s="25"/>
      <c r="B117" s="51" t="s">
        <v>136</v>
      </c>
      <c r="C117" s="25"/>
      <c r="E117" s="3">
        <f>$E$112-$E$116</f>
        <v>-41</v>
      </c>
      <c r="G117" s="3">
        <f>$G$112-$G$116</f>
        <v>0</v>
      </c>
    </row>
    <row r="118" spans="1:3" ht="12.75">
      <c r="A118" s="25"/>
      <c r="B118" s="50" t="s">
        <v>127</v>
      </c>
      <c r="C118" s="25"/>
    </row>
    <row r="119" spans="1:6" ht="12.75">
      <c r="A119" s="25"/>
      <c r="B119" s="25"/>
      <c r="C119" s="25" t="s">
        <v>128</v>
      </c>
      <c r="D119" s="5">
        <v>0</v>
      </c>
      <c r="F119" s="5">
        <v>0</v>
      </c>
    </row>
    <row r="120" spans="1:6" ht="12.75">
      <c r="A120" s="25"/>
      <c r="B120" s="25"/>
      <c r="C120" s="25" t="s">
        <v>129</v>
      </c>
      <c r="D120" s="5">
        <v>56</v>
      </c>
      <c r="F120" s="5">
        <v>0</v>
      </c>
    </row>
    <row r="121" spans="1:6" ht="12.75">
      <c r="A121" s="25"/>
      <c r="B121" s="25"/>
      <c r="C121" s="25" t="s">
        <v>130</v>
      </c>
      <c r="D121" s="5">
        <v>0</v>
      </c>
      <c r="F121" s="5">
        <v>0</v>
      </c>
    </row>
    <row r="122" spans="1:6" ht="12.75">
      <c r="A122" s="25"/>
      <c r="B122" s="25"/>
      <c r="C122" s="25" t="s">
        <v>131</v>
      </c>
      <c r="D122" s="5">
        <v>27</v>
      </c>
      <c r="F122" s="5">
        <v>0</v>
      </c>
    </row>
    <row r="123" spans="1:6" ht="12.75">
      <c r="A123" s="25"/>
      <c r="B123" s="25"/>
      <c r="C123" s="25" t="s">
        <v>132</v>
      </c>
      <c r="D123" s="5">
        <v>0</v>
      </c>
      <c r="F123" s="5">
        <v>0</v>
      </c>
    </row>
    <row r="124" spans="1:6" ht="12.75">
      <c r="A124" s="25"/>
      <c r="B124" s="25"/>
      <c r="C124" s="25" t="s">
        <v>133</v>
      </c>
      <c r="D124" s="5">
        <v>0</v>
      </c>
      <c r="F124" s="5">
        <v>0</v>
      </c>
    </row>
    <row r="125" spans="1:6" ht="12.75">
      <c r="A125" s="25"/>
      <c r="B125" s="25"/>
      <c r="C125" s="25" t="s">
        <v>134</v>
      </c>
      <c r="D125" s="5">
        <v>0</v>
      </c>
      <c r="F125" s="5">
        <v>0</v>
      </c>
    </row>
    <row r="126" spans="1:7" ht="12.75">
      <c r="A126" s="25"/>
      <c r="B126" s="25"/>
      <c r="C126" s="25" t="s">
        <v>135</v>
      </c>
      <c r="D126" s="5">
        <v>0</v>
      </c>
      <c r="E126" s="3">
        <f>SUM($D$119:$D$126)</f>
        <v>83</v>
      </c>
      <c r="F126" s="5">
        <v>0</v>
      </c>
      <c r="G126" s="3">
        <f>SUM($F$119:$F$126)</f>
        <v>0</v>
      </c>
    </row>
    <row r="127" spans="1:5" ht="12.75">
      <c r="A127" s="25"/>
      <c r="B127" s="25" t="s">
        <v>58</v>
      </c>
      <c r="C127" s="25"/>
      <c r="E127" s="3">
        <v>0</v>
      </c>
    </row>
    <row r="128" spans="1:7" ht="13.5" thickBot="1">
      <c r="A128" s="25"/>
      <c r="B128" s="25" t="s">
        <v>59</v>
      </c>
      <c r="C128" s="25"/>
      <c r="E128" s="54">
        <v>0</v>
      </c>
      <c r="G128" s="55">
        <v>0</v>
      </c>
    </row>
    <row r="129" spans="1:7" ht="13.5" thickBot="1">
      <c r="A129" s="25"/>
      <c r="B129" s="25" t="s">
        <v>12</v>
      </c>
      <c r="C129" s="25"/>
      <c r="E129" s="55">
        <f>$E$117-SUM($E$126:$E$128)</f>
        <v>-124</v>
      </c>
      <c r="G129" s="55">
        <f>$G$117-$G$126-$G$128</f>
        <v>0</v>
      </c>
    </row>
    <row r="130" spans="1:7" ht="12.75">
      <c r="A130" s="25"/>
      <c r="B130" s="25" t="s">
        <v>64</v>
      </c>
      <c r="C130" s="25"/>
      <c r="E130" s="57">
        <f>IF(E$112&gt;0,MIN(MAX((E$116+E$126+E$127+E$128)/E$112,0.9),1),0)</f>
        <v>1</v>
      </c>
      <c r="G130" s="57">
        <f>IF(G$112&gt;0,MIN((G$116+G$126+G$127+G$128)/G$112,1),0)</f>
        <v>0</v>
      </c>
    </row>
    <row r="131" spans="1:3" ht="12.75">
      <c r="A131" s="25"/>
      <c r="C131" s="25"/>
    </row>
    <row r="132" spans="1:6" ht="12.75">
      <c r="A132" s="25"/>
      <c r="B132" s="50" t="s">
        <v>60</v>
      </c>
      <c r="C132" s="25"/>
      <c r="F132" t="s">
        <v>141</v>
      </c>
    </row>
    <row r="133" spans="1:6" ht="12.75">
      <c r="A133" s="25"/>
      <c r="B133" s="25"/>
      <c r="C133" s="25" t="s">
        <v>61</v>
      </c>
      <c r="E133" s="3">
        <f>$E$129</f>
        <v>-124</v>
      </c>
      <c r="F133" s="57">
        <f>IF($E$112&gt;0,$E$133/$E$112,0)</f>
        <v>-0.019260639950295123</v>
      </c>
    </row>
    <row r="134" spans="1:6" ht="12.75">
      <c r="A134" s="25"/>
      <c r="B134" s="25"/>
      <c r="C134" s="25" t="s">
        <v>62</v>
      </c>
      <c r="E134" s="3">
        <f>$G$129</f>
        <v>0</v>
      </c>
      <c r="F134" s="57">
        <f>IF($G$112&gt;0,$E$134/$G$112,0)</f>
        <v>0</v>
      </c>
    </row>
    <row r="135" spans="2:5" ht="12.75">
      <c r="B135" s="25"/>
      <c r="C135" s="25" t="s">
        <v>87</v>
      </c>
      <c r="E135" s="3">
        <f>SUM(E133:$E$134)</f>
        <v>-124</v>
      </c>
    </row>
    <row r="137" spans="2:3" ht="12.75">
      <c r="B137" s="53" t="s">
        <v>137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43" right="0.16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4">
    <tabColor indexed="1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47" t="s">
        <v>69</v>
      </c>
      <c r="B1" s="47"/>
      <c r="C1" s="25"/>
    </row>
    <row r="2" spans="1:3" ht="12.75">
      <c r="A2" s="25" t="s">
        <v>0</v>
      </c>
      <c r="B2" s="25"/>
      <c r="C2" s="25"/>
    </row>
    <row r="3" spans="1:3" ht="12.75">
      <c r="A3" s="48" t="s">
        <v>41</v>
      </c>
      <c r="B3" s="48"/>
      <c r="C3" s="25"/>
    </row>
    <row r="4" spans="1:3" ht="12.75">
      <c r="A4" s="25"/>
      <c r="B4" s="25"/>
      <c r="C4" s="25"/>
    </row>
    <row r="5" spans="1:3" ht="12.75">
      <c r="A5" s="25" t="s">
        <v>38</v>
      </c>
      <c r="B5" s="25"/>
      <c r="C5" s="25"/>
    </row>
    <row r="6" spans="1:3" ht="12.75">
      <c r="A6" s="25"/>
      <c r="B6" s="25"/>
      <c r="C6" s="25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</v>
      </c>
      <c r="F8" s="2" t="s">
        <v>2</v>
      </c>
      <c r="G8" s="2"/>
    </row>
    <row r="9" spans="1:3" ht="12.75">
      <c r="A9" s="48" t="s">
        <v>70</v>
      </c>
      <c r="B9" s="48"/>
      <c r="C9" s="25"/>
    </row>
    <row r="10" spans="1:6" ht="12.75">
      <c r="A10" s="48" t="s">
        <v>71</v>
      </c>
      <c r="B10" s="25"/>
      <c r="C10" s="25"/>
      <c r="E10" s="1"/>
      <c r="F10" s="1"/>
    </row>
    <row r="11" spans="1:3" ht="12.75">
      <c r="A11" s="25"/>
      <c r="B11" s="50" t="s">
        <v>75</v>
      </c>
      <c r="C11" s="25"/>
    </row>
    <row r="12" spans="1:6" ht="12.75">
      <c r="A12" s="25"/>
      <c r="B12" s="25"/>
      <c r="C12" s="25" t="s">
        <v>3</v>
      </c>
      <c r="E12" s="5">
        <f>$F$14-E$13-E$14</f>
        <v>5632815.148510001</v>
      </c>
      <c r="F12" s="1"/>
    </row>
    <row r="13" spans="1:6" ht="12.75">
      <c r="A13" s="25"/>
      <c r="B13" s="25"/>
      <c r="C13" s="25" t="s">
        <v>4</v>
      </c>
      <c r="E13" s="5">
        <v>884857.63548</v>
      </c>
      <c r="F13" s="1"/>
    </row>
    <row r="14" spans="1:6" ht="12.75">
      <c r="A14" s="25"/>
      <c r="B14" s="25"/>
      <c r="C14" s="25" t="s">
        <v>5</v>
      </c>
      <c r="E14" s="5">
        <v>243392.09639</v>
      </c>
      <c r="F14" s="3">
        <v>6761064.88038</v>
      </c>
    </row>
    <row r="15" spans="1:6" ht="12.75">
      <c r="A15" s="25"/>
      <c r="B15" s="50" t="s">
        <v>72</v>
      </c>
      <c r="C15" s="25"/>
      <c r="E15" s="1"/>
      <c r="F15" s="1"/>
    </row>
    <row r="16" spans="1:6" ht="12.75">
      <c r="A16" s="25"/>
      <c r="B16" s="25"/>
      <c r="C16" s="25" t="s">
        <v>72</v>
      </c>
      <c r="E16" s="5">
        <v>1542987.5421400005</v>
      </c>
      <c r="F16" s="1"/>
    </row>
    <row r="17" spans="1:6" ht="12.75">
      <c r="A17" s="25"/>
      <c r="B17" s="25"/>
      <c r="C17" s="25" t="s">
        <v>73</v>
      </c>
      <c r="E17" s="5">
        <v>393.96059</v>
      </c>
      <c r="F17" s="1"/>
    </row>
    <row r="18" spans="1:6" ht="12.75">
      <c r="A18" s="25"/>
      <c r="B18" s="25"/>
      <c r="C18" s="25" t="s">
        <v>74</v>
      </c>
      <c r="E18" s="5">
        <v>88286.02312999999</v>
      </c>
      <c r="F18" s="3">
        <f>$E$16-$E$17-$E$18</f>
        <v>1454307.5584200006</v>
      </c>
    </row>
    <row r="19" spans="1:6" ht="12.75">
      <c r="A19" s="25"/>
      <c r="B19" s="25" t="s">
        <v>76</v>
      </c>
      <c r="C19" s="25"/>
      <c r="F19" s="3">
        <v>38336.68520000001</v>
      </c>
    </row>
    <row r="20" spans="1:6" ht="13.5" thickBot="1">
      <c r="A20" s="25"/>
      <c r="B20" s="25" t="s">
        <v>77</v>
      </c>
      <c r="C20" s="25"/>
      <c r="E20" s="6"/>
      <c r="F20" s="54">
        <v>1701.0811400000002</v>
      </c>
    </row>
    <row r="21" spans="1:6" ht="13.5" thickBot="1">
      <c r="A21" s="25"/>
      <c r="B21" s="47" t="s">
        <v>78</v>
      </c>
      <c r="C21" s="25"/>
      <c r="E21" s="6"/>
      <c r="F21" s="55">
        <f>$F$14+$F$18+$F$19+$F$20</f>
        <v>8255410.205140001</v>
      </c>
    </row>
    <row r="22" spans="1:5" ht="12.75">
      <c r="A22" s="25"/>
      <c r="B22" s="25"/>
      <c r="C22" s="25"/>
      <c r="E22" s="6"/>
    </row>
    <row r="23" spans="1:6" ht="12.75">
      <c r="A23" s="48" t="s">
        <v>79</v>
      </c>
      <c r="B23" s="25"/>
      <c r="C23" s="25"/>
      <c r="E23" s="6"/>
      <c r="F23" s="1"/>
    </row>
    <row r="24" spans="1:6" ht="12.75">
      <c r="A24" s="25"/>
      <c r="B24" s="50" t="s">
        <v>6</v>
      </c>
      <c r="C24" s="25"/>
      <c r="E24" s="6"/>
      <c r="F24" s="1"/>
    </row>
    <row r="25" spans="1:6" ht="12.75">
      <c r="A25" s="25"/>
      <c r="B25" s="25"/>
      <c r="C25" s="25" t="s">
        <v>7</v>
      </c>
      <c r="E25" s="5">
        <v>1877623.3215599998</v>
      </c>
      <c r="F25" s="1"/>
    </row>
    <row r="26" spans="1:6" ht="12.75">
      <c r="A26" s="25"/>
      <c r="B26" s="25"/>
      <c r="C26" s="25" t="s">
        <v>8</v>
      </c>
      <c r="E26" s="5">
        <v>2485041.35148</v>
      </c>
      <c r="F26" s="1"/>
    </row>
    <row r="27" spans="1:6" ht="12.75">
      <c r="A27" s="25"/>
      <c r="B27" s="25"/>
      <c r="C27" s="25" t="s">
        <v>80</v>
      </c>
      <c r="E27" s="5">
        <v>1294005.67864</v>
      </c>
      <c r="F27" s="3">
        <f>SUM($E$25:$E$27)</f>
        <v>5656670.351679999</v>
      </c>
    </row>
    <row r="28" spans="1:5" ht="12.75">
      <c r="A28" s="25"/>
      <c r="B28" s="50" t="s">
        <v>81</v>
      </c>
      <c r="C28" s="25"/>
      <c r="E28" s="1"/>
    </row>
    <row r="29" spans="1:6" ht="12.75">
      <c r="A29" s="25"/>
      <c r="B29" s="25"/>
      <c r="C29" s="25" t="s">
        <v>82</v>
      </c>
      <c r="E29" s="5">
        <v>1090902.0229499973</v>
      </c>
      <c r="F29" s="1"/>
    </row>
    <row r="30" spans="1:6" ht="12.75">
      <c r="A30" s="25"/>
      <c r="B30" s="25"/>
      <c r="C30" s="25" t="s">
        <v>83</v>
      </c>
      <c r="E30" s="5">
        <v>305818.5139000006</v>
      </c>
      <c r="F30" s="1"/>
    </row>
    <row r="31" spans="1:6" ht="12.75">
      <c r="A31" s="25"/>
      <c r="B31" s="25"/>
      <c r="C31" s="25" t="s">
        <v>84</v>
      </c>
      <c r="D31" s="1"/>
      <c r="E31" s="5">
        <v>65705.18800000008</v>
      </c>
      <c r="F31" s="1"/>
    </row>
    <row r="32" spans="1:6" ht="12.75">
      <c r="A32" s="25"/>
      <c r="B32" s="25"/>
      <c r="C32" s="25" t="s">
        <v>85</v>
      </c>
      <c r="D32" s="1"/>
      <c r="E32" s="5">
        <f>$F$32-SUM($E$29:$E$31)</f>
        <v>99026.73871000204</v>
      </c>
      <c r="F32" s="3">
        <v>1561452.46356</v>
      </c>
    </row>
    <row r="33" spans="1:6" ht="12.75">
      <c r="A33" s="25"/>
      <c r="B33" s="50" t="s">
        <v>9</v>
      </c>
      <c r="C33" s="25"/>
      <c r="D33" s="1"/>
      <c r="E33" s="1"/>
      <c r="F33" s="3">
        <v>331710.80847000005</v>
      </c>
    </row>
    <row r="34" spans="1:6" ht="12.75">
      <c r="A34" s="25"/>
      <c r="B34" s="25" t="s">
        <v>86</v>
      </c>
      <c r="C34" s="25"/>
      <c r="E34" s="1"/>
      <c r="F34" s="3">
        <v>62354.859809999994</v>
      </c>
    </row>
    <row r="35" spans="1:6" ht="12.75">
      <c r="A35" s="25"/>
      <c r="B35" s="25" t="s">
        <v>10</v>
      </c>
      <c r="C35" s="25"/>
      <c r="E35" s="1"/>
      <c r="F35" s="3">
        <v>0</v>
      </c>
    </row>
    <row r="36" spans="1:6" ht="12.75">
      <c r="A36" s="25"/>
      <c r="B36" s="25" t="s">
        <v>11</v>
      </c>
      <c r="C36" s="25"/>
      <c r="F36" s="3">
        <v>431214.24027</v>
      </c>
    </row>
    <row r="37" spans="1:6" ht="13.5" thickBot="1">
      <c r="A37" s="25"/>
      <c r="B37" s="25" t="s">
        <v>87</v>
      </c>
      <c r="C37" s="25"/>
      <c r="F37" s="54">
        <f>$F$38-($F$27+SUM($F$32:$F$36))</f>
        <v>212007.48135000188</v>
      </c>
    </row>
    <row r="38" spans="1:6" ht="13.5" thickBot="1">
      <c r="A38" s="25"/>
      <c r="B38" s="25" t="s">
        <v>88</v>
      </c>
      <c r="C38" s="25"/>
      <c r="F38" s="55">
        <f>$F$14+$F$18+$F$19+$F$20</f>
        <v>8255410.205140001</v>
      </c>
    </row>
    <row r="39" spans="1:3" ht="12.75">
      <c r="A39" s="25"/>
      <c r="B39" s="25"/>
      <c r="C39" s="25"/>
    </row>
    <row r="40" spans="1:6" ht="12.75">
      <c r="A40" s="48" t="s">
        <v>89</v>
      </c>
      <c r="B40" s="25"/>
      <c r="C40" s="25"/>
      <c r="E40" s="1"/>
      <c r="F40" s="1"/>
    </row>
    <row r="41" spans="1:6" ht="12.75">
      <c r="A41" s="48" t="s">
        <v>90</v>
      </c>
      <c r="B41" s="25"/>
      <c r="C41" s="25"/>
      <c r="E41" s="1"/>
      <c r="F41" s="1"/>
    </row>
    <row r="42" spans="1:6" ht="12.75">
      <c r="A42" s="25"/>
      <c r="B42" s="50" t="s">
        <v>91</v>
      </c>
      <c r="C42" s="25"/>
      <c r="F42" s="1"/>
    </row>
    <row r="43" spans="1:7" ht="12.75">
      <c r="A43" s="25"/>
      <c r="B43" s="25"/>
      <c r="C43" s="25" t="s">
        <v>27</v>
      </c>
      <c r="E43" s="5">
        <v>1336030.9821799998</v>
      </c>
      <c r="F43" s="56" t="s">
        <v>138</v>
      </c>
      <c r="G43" s="57">
        <f>IF(E43&gt;0,E43/$F$50,0)</f>
        <v>0.028611515579709337</v>
      </c>
    </row>
    <row r="44" spans="1:7" ht="12.75">
      <c r="A44" s="25"/>
      <c r="B44" s="25"/>
      <c r="C44" s="25" t="s">
        <v>28</v>
      </c>
      <c r="E44" s="5">
        <v>25902163.09266</v>
      </c>
      <c r="F44" s="56" t="s">
        <v>138</v>
      </c>
      <c r="G44" s="57">
        <f aca="true" t="shared" si="0" ref="G44:G50">IF(E44&gt;0,E44/$F$50,0)</f>
        <v>0.5547028121043732</v>
      </c>
    </row>
    <row r="45" spans="1:7" ht="12.75">
      <c r="A45" s="25"/>
      <c r="B45" s="25"/>
      <c r="C45" s="25" t="s">
        <v>29</v>
      </c>
      <c r="E45" s="5">
        <v>6247606.578749999</v>
      </c>
      <c r="F45" s="56" t="s">
        <v>138</v>
      </c>
      <c r="G45" s="57">
        <f t="shared" si="0"/>
        <v>0.1337944219468087</v>
      </c>
    </row>
    <row r="46" spans="1:7" ht="12.75">
      <c r="A46" s="25"/>
      <c r="B46" s="25"/>
      <c r="C46" s="25" t="s">
        <v>30</v>
      </c>
      <c r="E46" s="5">
        <v>3514453.00582</v>
      </c>
      <c r="F46" s="56" t="s">
        <v>138</v>
      </c>
      <c r="G46" s="57">
        <f t="shared" si="0"/>
        <v>0.07526309514626801</v>
      </c>
    </row>
    <row r="47" spans="1:7" ht="12.75">
      <c r="A47" s="25"/>
      <c r="B47" s="25"/>
      <c r="C47" s="25" t="s">
        <v>31</v>
      </c>
      <c r="E47" s="5">
        <v>4185387.93703</v>
      </c>
      <c r="F47" s="56" t="s">
        <v>138</v>
      </c>
      <c r="G47" s="57">
        <f t="shared" si="0"/>
        <v>0.08963137364678848</v>
      </c>
    </row>
    <row r="48" spans="1:7" ht="12.75">
      <c r="A48" s="25"/>
      <c r="B48" s="25"/>
      <c r="C48" s="25" t="s">
        <v>32</v>
      </c>
      <c r="E48" s="5">
        <v>381455.46597</v>
      </c>
      <c r="F48" s="56" t="s">
        <v>138</v>
      </c>
      <c r="G48" s="57">
        <f t="shared" si="0"/>
        <v>0.008168986462991712</v>
      </c>
    </row>
    <row r="49" spans="1:7" ht="12.75">
      <c r="A49" s="25"/>
      <c r="B49" s="25"/>
      <c r="C49" s="25" t="s">
        <v>33</v>
      </c>
      <c r="E49" s="5">
        <v>4936236.637320001</v>
      </c>
      <c r="F49" s="56" t="s">
        <v>138</v>
      </c>
      <c r="G49" s="57">
        <f t="shared" si="0"/>
        <v>0.10571103016141377</v>
      </c>
    </row>
    <row r="50" spans="1:7" ht="13.5" thickBot="1">
      <c r="A50" s="25"/>
      <c r="B50" s="25"/>
      <c r="C50" s="25" t="s">
        <v>34</v>
      </c>
      <c r="E50" s="5">
        <v>192234.67930000002</v>
      </c>
      <c r="F50" s="55">
        <f>SUM($E$43:$E$50)</f>
        <v>46695568.37903001</v>
      </c>
      <c r="G50" s="57">
        <f t="shared" si="0"/>
        <v>0.004116764951646429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92</v>
      </c>
      <c r="B52" s="25"/>
      <c r="C52" s="25"/>
      <c r="E52" s="6"/>
      <c r="F52" s="6"/>
    </row>
    <row r="53" spans="1:3" ht="12.75">
      <c r="A53" s="25"/>
      <c r="B53" s="50" t="s">
        <v>93</v>
      </c>
      <c r="C53" s="25"/>
    </row>
    <row r="54" spans="1:5" ht="12.75">
      <c r="A54" s="25"/>
      <c r="B54" s="25"/>
      <c r="C54" s="25" t="s">
        <v>82</v>
      </c>
      <c r="E54" s="5">
        <v>25352981.88595</v>
      </c>
    </row>
    <row r="55" spans="1:5" ht="12.75">
      <c r="A55" s="25"/>
      <c r="B55" s="25"/>
      <c r="C55" s="25" t="s">
        <v>83</v>
      </c>
      <c r="E55" s="5">
        <v>10559814.595900001</v>
      </c>
    </row>
    <row r="56" spans="1:5" ht="12.75">
      <c r="A56" s="25"/>
      <c r="B56" s="25"/>
      <c r="C56" s="25" t="s">
        <v>84</v>
      </c>
      <c r="E56" s="5">
        <v>2544128.373</v>
      </c>
    </row>
    <row r="57" spans="1:6" ht="12.75">
      <c r="A57" s="25"/>
      <c r="B57" s="25"/>
      <c r="C57" s="25" t="s">
        <v>94</v>
      </c>
      <c r="E57" s="5">
        <v>5409106.9263900025</v>
      </c>
      <c r="F57" s="3">
        <f>SUM($E$54:$E$57)</f>
        <v>43866031.78124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95</v>
      </c>
      <c r="B59" s="25"/>
      <c r="C59" s="25"/>
      <c r="E59" s="1"/>
      <c r="F59" s="1"/>
    </row>
    <row r="60" spans="1:6" ht="12.75">
      <c r="A60" s="25"/>
      <c r="B60" s="25"/>
      <c r="C60" s="25" t="s">
        <v>13</v>
      </c>
      <c r="F60" s="3">
        <v>386000</v>
      </c>
    </row>
    <row r="61" spans="1:6" ht="12.75">
      <c r="A61" s="25"/>
      <c r="B61" s="25"/>
      <c r="C61" s="25" t="s">
        <v>14</v>
      </c>
      <c r="F61" s="3">
        <f>$F$36</f>
        <v>431214.24027</v>
      </c>
    </row>
    <row r="62" spans="1:6" ht="12.75">
      <c r="A62" s="25"/>
      <c r="B62" s="25"/>
      <c r="C62" s="25" t="s">
        <v>139</v>
      </c>
      <c r="F62" s="3">
        <v>0</v>
      </c>
    </row>
    <row r="63" spans="1:6" ht="12.75">
      <c r="A63" s="25"/>
      <c r="B63" s="25"/>
      <c r="C63" s="25" t="s">
        <v>15</v>
      </c>
      <c r="E63" s="5">
        <v>0</v>
      </c>
      <c r="F63" s="1"/>
    </row>
    <row r="64" spans="1:6" ht="13.5" thickBot="1">
      <c r="A64" s="25"/>
      <c r="B64" s="25"/>
      <c r="C64" s="25" t="s">
        <v>96</v>
      </c>
      <c r="E64" s="5">
        <v>249914.24027</v>
      </c>
      <c r="F64" s="55">
        <f>$E$64+$E$63</f>
        <v>249914.24027</v>
      </c>
    </row>
    <row r="65" spans="1:6" ht="13.5" thickBot="1">
      <c r="A65" s="25"/>
      <c r="B65" s="25"/>
      <c r="C65" s="25" t="s">
        <v>16</v>
      </c>
      <c r="F65" s="55">
        <f>$F$60+$F$61+$F$62-$F$64</f>
        <v>567300</v>
      </c>
    </row>
    <row r="66" spans="1:6" ht="12.75">
      <c r="A66" s="25"/>
      <c r="B66" s="25"/>
      <c r="C66" s="25"/>
      <c r="F66" s="1"/>
    </row>
    <row r="67" spans="1:6" ht="12.75">
      <c r="A67" s="48" t="s">
        <v>97</v>
      </c>
      <c r="B67" s="25"/>
      <c r="C67" s="25"/>
      <c r="F67" s="1"/>
    </row>
    <row r="68" spans="1:6" ht="12.75">
      <c r="A68" s="25"/>
      <c r="B68" s="25"/>
      <c r="C68" s="25" t="s">
        <v>13</v>
      </c>
      <c r="E68" s="26"/>
      <c r="F68" s="3">
        <v>687699.5</v>
      </c>
    </row>
    <row r="69" spans="1:6" ht="12.75">
      <c r="A69" s="25"/>
      <c r="B69" s="25"/>
      <c r="C69" s="25" t="s">
        <v>54</v>
      </c>
      <c r="E69" s="5">
        <v>14960.23</v>
      </c>
      <c r="F69" s="58"/>
    </row>
    <row r="70" spans="1:6" ht="12.75">
      <c r="A70" s="25"/>
      <c r="B70" s="25"/>
      <c r="C70" s="25" t="s">
        <v>98</v>
      </c>
      <c r="E70" s="5">
        <v>8596.243</v>
      </c>
      <c r="F70" s="3">
        <f>$E$69+$E$70</f>
        <v>23556.472999999998</v>
      </c>
    </row>
    <row r="71" spans="1:6" ht="12.75">
      <c r="A71" s="25"/>
      <c r="B71" s="25"/>
      <c r="C71" s="25" t="s">
        <v>55</v>
      </c>
      <c r="E71" s="5">
        <v>21227.39</v>
      </c>
      <c r="F71" s="60"/>
    </row>
    <row r="72" spans="1:6" ht="13.5" thickBot="1">
      <c r="A72" s="49"/>
      <c r="B72" s="49"/>
      <c r="C72" s="25" t="s">
        <v>99</v>
      </c>
      <c r="E72" s="5">
        <v>0</v>
      </c>
      <c r="F72" s="55">
        <f>$E$72+$E$71</f>
        <v>21227.39</v>
      </c>
    </row>
    <row r="73" spans="1:6" ht="13.5" thickBot="1">
      <c r="A73" s="49"/>
      <c r="B73" s="49"/>
      <c r="C73" s="25" t="s">
        <v>16</v>
      </c>
      <c r="E73" s="26"/>
      <c r="F73" s="55">
        <f>$F$68+$F$70-$F$72</f>
        <v>690028.583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100</v>
      </c>
      <c r="B75" s="49"/>
      <c r="C75" s="25"/>
      <c r="E75" s="60"/>
      <c r="F75" s="61"/>
    </row>
    <row r="76" spans="1:7" ht="13.5" thickBot="1">
      <c r="A76" s="25"/>
      <c r="B76" s="25" t="s">
        <v>17</v>
      </c>
      <c r="C76" s="25" t="s">
        <v>101</v>
      </c>
      <c r="D76" s="26"/>
      <c r="E76" s="55">
        <f>$E$16-$E$17</f>
        <v>1542593.5815500005</v>
      </c>
      <c r="F76" s="55">
        <f>$F$18</f>
        <v>1454307.5584200006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12.75">
      <c r="A78" s="25"/>
      <c r="B78" s="25" t="s">
        <v>20</v>
      </c>
      <c r="C78" s="25" t="s">
        <v>102</v>
      </c>
      <c r="D78" s="26"/>
      <c r="E78" s="58" t="s">
        <v>18</v>
      </c>
      <c r="F78" s="58" t="s">
        <v>19</v>
      </c>
      <c r="G78" s="26"/>
    </row>
    <row r="79" spans="1:7" ht="12.75">
      <c r="A79" s="25"/>
      <c r="B79" s="25"/>
      <c r="C79" s="25" t="s">
        <v>21</v>
      </c>
      <c r="D79" s="26"/>
      <c r="E79" s="3">
        <v>44686386.92200001</v>
      </c>
      <c r="F79" s="3">
        <v>45592906.083</v>
      </c>
      <c r="G79" s="26"/>
    </row>
    <row r="80" spans="1:7" ht="12.75">
      <c r="A80" s="25"/>
      <c r="B80" s="25"/>
      <c r="C80" s="25" t="s">
        <v>23</v>
      </c>
      <c r="D80" s="26"/>
      <c r="E80" s="3">
        <v>46695568.379030004</v>
      </c>
      <c r="F80" s="3">
        <v>46377604.7756204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22</v>
      </c>
      <c r="C82" s="25" t="s">
        <v>103</v>
      </c>
      <c r="D82" s="59"/>
      <c r="E82" s="26"/>
      <c r="F82" s="59"/>
      <c r="G82" s="26"/>
    </row>
    <row r="83" spans="1:7" ht="13.5" thickBot="1">
      <c r="A83" s="25"/>
      <c r="B83" s="25"/>
      <c r="C83" s="25" t="s">
        <v>104</v>
      </c>
      <c r="D83" s="59"/>
      <c r="E83" s="61"/>
      <c r="F83" s="55">
        <f>$F$79-$E$79</f>
        <v>906519.1609999835</v>
      </c>
      <c r="G83" s="61"/>
    </row>
    <row r="84" spans="1:7" ht="13.5" thickBot="1">
      <c r="A84" s="25"/>
      <c r="B84" s="25"/>
      <c r="C84" s="25" t="s">
        <v>105</v>
      </c>
      <c r="D84" s="26"/>
      <c r="E84" s="26"/>
      <c r="F84" s="55">
        <f>$F$80-$E$80</f>
        <v>-317963.60340960324</v>
      </c>
      <c r="G84" s="26"/>
    </row>
    <row r="85" spans="1:7" ht="13.5" thickBot="1">
      <c r="A85" s="25"/>
      <c r="B85" s="25"/>
      <c r="C85" s="25" t="s">
        <v>106</v>
      </c>
      <c r="D85" s="59"/>
      <c r="E85" s="26"/>
      <c r="F85" s="55">
        <f>$F$84-$F$83</f>
        <v>-1224482.7644095868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24</v>
      </c>
      <c r="C87" s="25" t="s">
        <v>107</v>
      </c>
      <c r="D87" s="59"/>
      <c r="E87" s="57">
        <f>IF($E$79+$E$80&gt;0,E$76/(($E$79+$E$80)/2),0)</f>
        <v>0.03376144833995718</v>
      </c>
      <c r="F87" s="57">
        <f>IF($E$79+$E$80&gt;0,F$76/(($E$79+$E$80)/2),0)</f>
        <v>0.0318292064035887</v>
      </c>
      <c r="G87" s="61"/>
    </row>
    <row r="88" spans="1:7" ht="12.75">
      <c r="A88" s="25"/>
      <c r="B88" s="25" t="s">
        <v>25</v>
      </c>
      <c r="C88" s="25" t="s">
        <v>108</v>
      </c>
      <c r="D88" s="26"/>
      <c r="E88" s="57">
        <f>IF($F$79+$F$80&gt;0,(E$76+($F$80-$E$80)-($F$79-$E$79))/(($F$79+$F$80)/2),0)</f>
        <v>0.0069176698959391965</v>
      </c>
      <c r="F88" s="57">
        <f>IF($F$79+$F$80&gt;0,(F$76+($F$80-$E$80)-($F$79-$E$79))/(($F$79+$F$80)/2),0)</f>
        <v>0.004997793137491794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26</v>
      </c>
      <c r="C90" s="25" t="s">
        <v>109</v>
      </c>
      <c r="D90" s="26"/>
      <c r="E90" s="59"/>
      <c r="F90" s="26"/>
      <c r="G90" s="62"/>
    </row>
    <row r="91" spans="1:7" ht="12.75">
      <c r="A91" s="25"/>
      <c r="B91" s="25"/>
      <c r="C91" s="25" t="s">
        <v>110</v>
      </c>
      <c r="D91" s="26"/>
      <c r="E91" s="68"/>
      <c r="F91" s="67">
        <v>0.05835</v>
      </c>
      <c r="G91" s="59"/>
    </row>
    <row r="92" spans="1:7" ht="12.75">
      <c r="A92" s="25"/>
      <c r="B92" s="25"/>
      <c r="C92" s="25" t="s">
        <v>111</v>
      </c>
      <c r="D92" s="26"/>
      <c r="E92" s="68"/>
      <c r="F92" s="67">
        <v>0.0572</v>
      </c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35</v>
      </c>
      <c r="C94" s="25" t="s">
        <v>37</v>
      </c>
      <c r="D94" s="26"/>
      <c r="E94" s="64"/>
      <c r="F94" s="26"/>
      <c r="G94" s="65"/>
    </row>
    <row r="95" spans="1:7" ht="12.75">
      <c r="A95" s="25"/>
      <c r="B95" s="25"/>
      <c r="C95" s="25" t="s">
        <v>112</v>
      </c>
      <c r="D95" s="26"/>
      <c r="E95" s="26"/>
      <c r="F95" s="8">
        <v>465293</v>
      </c>
      <c r="G95" s="26"/>
    </row>
    <row r="96" spans="1:7" ht="12.75">
      <c r="A96" s="25"/>
      <c r="B96" s="25"/>
      <c r="C96" s="25" t="s">
        <v>113</v>
      </c>
      <c r="D96" s="26"/>
      <c r="E96" s="26"/>
      <c r="F96" s="8">
        <v>64809</v>
      </c>
      <c r="G96" s="26"/>
    </row>
    <row r="97" spans="1:7" ht="13.5" thickBot="1">
      <c r="A97" s="25"/>
      <c r="B97" s="25"/>
      <c r="C97" s="25" t="s">
        <v>114</v>
      </c>
      <c r="D97" s="26"/>
      <c r="E97" s="61"/>
      <c r="F97" s="69">
        <v>85216</v>
      </c>
      <c r="G97" s="26"/>
    </row>
    <row r="98" spans="1:7" ht="13.5" thickBot="1">
      <c r="A98" s="25"/>
      <c r="B98" s="25"/>
      <c r="C98" s="25" t="s">
        <v>115</v>
      </c>
      <c r="D98" s="26"/>
      <c r="E98" s="61"/>
      <c r="F98" s="70">
        <f>SUM($F$95:$F$97)</f>
        <v>615318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36</v>
      </c>
      <c r="C100" s="25" t="s">
        <v>43</v>
      </c>
    </row>
    <row r="101" spans="1:6" ht="12.75">
      <c r="A101" s="25"/>
      <c r="B101" s="25"/>
      <c r="C101" s="25" t="s">
        <v>116</v>
      </c>
      <c r="F101" s="3">
        <f>$E$18</f>
        <v>88286.02312999999</v>
      </c>
    </row>
    <row r="102" spans="1:6" ht="12.75">
      <c r="A102" s="25"/>
      <c r="B102" s="25"/>
      <c r="C102" s="25" t="s">
        <v>117</v>
      </c>
      <c r="F102" s="57">
        <f>IF($F$101&gt;0,$F$101/(($F$79+$F$80)/2),0)</f>
        <v>0.0019198767584474045</v>
      </c>
    </row>
    <row r="103" spans="1:5" ht="12.75">
      <c r="A103" s="25"/>
      <c r="B103" s="25"/>
      <c r="C103" s="25" t="s">
        <v>9</v>
      </c>
      <c r="E103" s="5">
        <v>331710.80847000005</v>
      </c>
    </row>
    <row r="104" spans="1:6" ht="13.5" thickBot="1">
      <c r="A104" s="25"/>
      <c r="B104" s="25"/>
      <c r="C104" s="25" t="s">
        <v>118</v>
      </c>
      <c r="E104" s="5">
        <v>4287.55709</v>
      </c>
      <c r="F104" s="55">
        <f>$E$103-$E$104</f>
        <v>327423.25138000003</v>
      </c>
    </row>
    <row r="105" spans="1:6" ht="12.75">
      <c r="A105" s="25"/>
      <c r="B105" s="25"/>
      <c r="C105" s="25" t="s">
        <v>119</v>
      </c>
      <c r="F105" s="3">
        <f>IF(F$98&gt;0,(1000*F$104)/F$98,0)</f>
        <v>532.1203855242331</v>
      </c>
    </row>
    <row r="106" spans="1:6" ht="12.75">
      <c r="A106" s="25"/>
      <c r="B106" s="25"/>
      <c r="C106" s="25" t="s">
        <v>120</v>
      </c>
      <c r="F106" s="3">
        <f>IF($F$98&gt;0,$E$14*1000/$F$98,0)</f>
        <v>395.5549754598435</v>
      </c>
    </row>
    <row r="107" spans="1:3" ht="12.75">
      <c r="A107" s="25"/>
      <c r="B107" s="25"/>
      <c r="C107" s="25"/>
    </row>
    <row r="108" spans="1:3" ht="12.75">
      <c r="A108" s="48" t="s">
        <v>144</v>
      </c>
      <c r="B108" s="25"/>
      <c r="C108" s="25"/>
    </row>
    <row r="109" spans="1:7" ht="12.75">
      <c r="A109" s="25"/>
      <c r="B109" s="50" t="s">
        <v>56</v>
      </c>
      <c r="C109" s="25"/>
      <c r="D109" s="108" t="s">
        <v>142</v>
      </c>
      <c r="E109" s="108"/>
      <c r="F109" s="108" t="s">
        <v>143</v>
      </c>
      <c r="G109" s="108"/>
    </row>
    <row r="110" spans="1:6" ht="12.75">
      <c r="A110" s="25"/>
      <c r="B110" s="25"/>
      <c r="C110" s="25" t="s">
        <v>121</v>
      </c>
      <c r="D110" s="89">
        <v>1182093</v>
      </c>
      <c r="F110" s="89">
        <v>272212</v>
      </c>
    </row>
    <row r="111" spans="1:6" ht="12.75">
      <c r="A111" s="25"/>
      <c r="B111" s="25"/>
      <c r="C111" s="25" t="s">
        <v>122</v>
      </c>
      <c r="D111" s="5">
        <v>674827.822</v>
      </c>
      <c r="F111" s="5">
        <v>210029.81347999998</v>
      </c>
    </row>
    <row r="112" spans="1:7" ht="12.75">
      <c r="A112" s="25"/>
      <c r="B112" s="25"/>
      <c r="C112" s="25" t="s">
        <v>123</v>
      </c>
      <c r="D112" s="5">
        <v>207960.0925</v>
      </c>
      <c r="E112" s="3">
        <f>SUM($D$110:$D$112)</f>
        <v>2064880.9145000002</v>
      </c>
      <c r="F112" s="5">
        <v>35432.00389</v>
      </c>
      <c r="G112" s="3">
        <f>SUM($F$110:$F$112)</f>
        <v>517673.81737</v>
      </c>
    </row>
    <row r="113" spans="1:3" ht="12.75">
      <c r="A113" s="25"/>
      <c r="B113" s="50" t="s">
        <v>57</v>
      </c>
      <c r="C113" s="25"/>
    </row>
    <row r="114" spans="1:6" ht="12.75">
      <c r="A114" s="25"/>
      <c r="B114" s="25"/>
      <c r="C114" s="25" t="s">
        <v>124</v>
      </c>
      <c r="D114" s="5">
        <v>1065713.1482197598</v>
      </c>
      <c r="F114" s="5">
        <v>236693.37040024024</v>
      </c>
    </row>
    <row r="115" spans="1:6" ht="12.75">
      <c r="A115" s="25"/>
      <c r="B115" s="25"/>
      <c r="C115" s="25" t="s">
        <v>125</v>
      </c>
      <c r="D115" s="5">
        <v>332623.859489026</v>
      </c>
      <c r="F115" s="5">
        <v>106644.836170974</v>
      </c>
    </row>
    <row r="116" spans="1:7" ht="12.75">
      <c r="A116" s="25"/>
      <c r="B116" s="25"/>
      <c r="C116" s="25" t="s">
        <v>126</v>
      </c>
      <c r="D116" s="5">
        <v>274057.19500550005</v>
      </c>
      <c r="E116" s="3">
        <f>SUM($D$114:$D$116)</f>
        <v>1672394.2027142858</v>
      </c>
      <c r="F116" s="5">
        <v>37203.6040845</v>
      </c>
      <c r="G116" s="3">
        <f>SUM($F$114:$F$116)</f>
        <v>380541.81065571425</v>
      </c>
    </row>
    <row r="117" spans="1:7" ht="14.25">
      <c r="A117" s="25"/>
      <c r="B117" s="51" t="s">
        <v>136</v>
      </c>
      <c r="C117" s="25"/>
      <c r="E117" s="3">
        <f>$E$112-$E$116</f>
        <v>392486.7117857144</v>
      </c>
      <c r="G117" s="3">
        <f>$G$112-$G$116</f>
        <v>137132.00671428576</v>
      </c>
    </row>
    <row r="118" spans="1:3" ht="12.75">
      <c r="A118" s="25"/>
      <c r="B118" s="50" t="s">
        <v>127</v>
      </c>
      <c r="C118" s="25"/>
    </row>
    <row r="119" spans="1:6" ht="12.75">
      <c r="A119" s="25"/>
      <c r="B119" s="25"/>
      <c r="C119" s="25" t="s">
        <v>128</v>
      </c>
      <c r="D119" s="5">
        <v>14892.735</v>
      </c>
      <c r="F119" s="5">
        <v>-21183.735</v>
      </c>
    </row>
    <row r="120" spans="1:6" ht="12.75">
      <c r="A120" s="25"/>
      <c r="B120" s="25"/>
      <c r="C120" s="25" t="s">
        <v>129</v>
      </c>
      <c r="D120" s="5">
        <v>1449.236</v>
      </c>
      <c r="F120" s="5">
        <v>-1621.236</v>
      </c>
    </row>
    <row r="121" spans="1:6" ht="12.75">
      <c r="A121" s="25"/>
      <c r="B121" s="25"/>
      <c r="C121" s="25" t="s">
        <v>130</v>
      </c>
      <c r="D121" s="5">
        <v>-17165.976</v>
      </c>
      <c r="F121" s="5">
        <v>-2434.024</v>
      </c>
    </row>
    <row r="122" spans="1:6" ht="12.75">
      <c r="A122" s="25"/>
      <c r="B122" s="25"/>
      <c r="C122" s="25" t="s">
        <v>131</v>
      </c>
      <c r="D122" s="5">
        <v>-280571.08</v>
      </c>
      <c r="F122" s="5">
        <v>-48829.789</v>
      </c>
    </row>
    <row r="123" spans="1:6" ht="12.75">
      <c r="A123" s="25"/>
      <c r="B123" s="25"/>
      <c r="C123" s="25" t="s">
        <v>132</v>
      </c>
      <c r="D123" s="5">
        <v>196507.491</v>
      </c>
      <c r="F123" s="5">
        <v>45353.933</v>
      </c>
    </row>
    <row r="124" spans="1:6" ht="12.75">
      <c r="A124" s="25"/>
      <c r="B124" s="25"/>
      <c r="C124" s="25" t="s">
        <v>133</v>
      </c>
      <c r="D124" s="5">
        <v>0</v>
      </c>
      <c r="F124" s="5">
        <v>0</v>
      </c>
    </row>
    <row r="125" spans="1:6" ht="12.75">
      <c r="A125" s="25"/>
      <c r="B125" s="25"/>
      <c r="C125" s="25" t="s">
        <v>134</v>
      </c>
      <c r="D125" s="5">
        <v>0</v>
      </c>
      <c r="F125" s="5">
        <v>0</v>
      </c>
    </row>
    <row r="126" spans="1:7" ht="12.75">
      <c r="A126" s="25"/>
      <c r="B126" s="25"/>
      <c r="C126" s="25" t="s">
        <v>135</v>
      </c>
      <c r="D126" s="5">
        <v>0</v>
      </c>
      <c r="E126" s="3">
        <f>SUM($D$119:$D$126)</f>
        <v>-84887.59400000001</v>
      </c>
      <c r="F126" s="5">
        <v>0</v>
      </c>
      <c r="G126" s="3">
        <f>SUM($F$119:$F$126)</f>
        <v>-28714.851000000002</v>
      </c>
    </row>
    <row r="127" spans="1:5" ht="12.75">
      <c r="A127" s="25"/>
      <c r="B127" s="25" t="s">
        <v>58</v>
      </c>
      <c r="C127" s="25"/>
      <c r="E127" s="3">
        <v>0</v>
      </c>
    </row>
    <row r="128" spans="1:7" ht="13.5" thickBot="1">
      <c r="A128" s="25"/>
      <c r="B128" s="25" t="s">
        <v>59</v>
      </c>
      <c r="C128" s="25"/>
      <c r="E128" s="54">
        <v>302149</v>
      </c>
      <c r="G128" s="55">
        <v>129066</v>
      </c>
    </row>
    <row r="129" spans="1:7" ht="13.5" thickBot="1">
      <c r="A129" s="25"/>
      <c r="B129" s="25" t="s">
        <v>12</v>
      </c>
      <c r="C129" s="25"/>
      <c r="E129" s="55">
        <f>$E$117-SUM($E$126:$E$128)</f>
        <v>175225.3057857144</v>
      </c>
      <c r="G129" s="55">
        <f>$G$117-$G$126-$G$128</f>
        <v>36780.857714285754</v>
      </c>
    </row>
    <row r="130" spans="1:7" ht="12.75">
      <c r="A130" s="25"/>
      <c r="B130" s="25" t="s">
        <v>64</v>
      </c>
      <c r="C130" s="25"/>
      <c r="E130" s="57">
        <f>IF(E$112&gt;0,MIN(MAX((E$116+E$126+E$127+E$128)/E$112,0.9),1),0)</f>
        <v>0.9151402366328983</v>
      </c>
      <c r="G130" s="57">
        <f>IF(G$112&gt;0,MIN((G$116+G$126+G$127+G$128)/G$112,1),0)</f>
        <v>0.9289497431004953</v>
      </c>
    </row>
    <row r="131" spans="1:3" ht="12.75">
      <c r="A131" s="25"/>
      <c r="C131" s="25"/>
    </row>
    <row r="132" spans="1:6" ht="12.75">
      <c r="A132" s="25"/>
      <c r="B132" s="50" t="s">
        <v>60</v>
      </c>
      <c r="C132" s="25"/>
      <c r="F132" t="s">
        <v>141</v>
      </c>
    </row>
    <row r="133" spans="1:6" ht="12.75">
      <c r="A133" s="25"/>
      <c r="B133" s="25"/>
      <c r="C133" s="25" t="s">
        <v>61</v>
      </c>
      <c r="E133" s="3">
        <f>$E$129</f>
        <v>175225.3057857144</v>
      </c>
      <c r="F133" s="57">
        <f>IF($E$112&gt;0,$E$133/$E$112,0)</f>
        <v>0.0848597633671016</v>
      </c>
    </row>
    <row r="134" spans="1:6" ht="12.75">
      <c r="A134" s="25"/>
      <c r="B134" s="25"/>
      <c r="C134" s="25" t="s">
        <v>62</v>
      </c>
      <c r="E134" s="3">
        <f>$G$129</f>
        <v>36780.857714285754</v>
      </c>
      <c r="F134" s="57">
        <f>IF($G$112&gt;0,$E$134/$G$112,0)</f>
        <v>0.07105025689950466</v>
      </c>
    </row>
    <row r="135" spans="2:5" ht="12.75">
      <c r="B135" s="25"/>
      <c r="C135" s="25" t="s">
        <v>87</v>
      </c>
      <c r="E135" s="3">
        <f>SUM(E133:$E$134)</f>
        <v>212006.16350000014</v>
      </c>
    </row>
    <row r="137" spans="2:3" ht="12.75">
      <c r="B137" s="53" t="s">
        <v>137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43" right="0.16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5">
    <tabColor indexed="1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47" t="s">
        <v>69</v>
      </c>
      <c r="B1" s="47"/>
      <c r="C1" s="25"/>
    </row>
    <row r="2" spans="1:3" ht="12.75">
      <c r="A2" s="25" t="s">
        <v>0</v>
      </c>
      <c r="B2" s="25"/>
      <c r="C2" s="25"/>
    </row>
    <row r="3" spans="1:3" ht="12.75">
      <c r="A3" s="48" t="s">
        <v>49</v>
      </c>
      <c r="B3" s="48"/>
      <c r="C3" s="25"/>
    </row>
    <row r="4" spans="1:3" ht="12.75">
      <c r="A4" s="25"/>
      <c r="B4" s="25"/>
      <c r="C4" s="25"/>
    </row>
    <row r="5" spans="1:3" ht="12.75">
      <c r="A5" s="25" t="s">
        <v>38</v>
      </c>
      <c r="B5" s="25"/>
      <c r="C5" s="25"/>
    </row>
    <row r="6" spans="1:3" ht="12.75">
      <c r="A6" s="25"/>
      <c r="B6" s="25"/>
      <c r="C6" s="25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</v>
      </c>
      <c r="F8" s="2" t="s">
        <v>2</v>
      </c>
      <c r="G8" s="2"/>
    </row>
    <row r="9" spans="1:3" ht="12.75">
      <c r="A9" s="48" t="s">
        <v>70</v>
      </c>
      <c r="B9" s="48"/>
      <c r="C9" s="25"/>
    </row>
    <row r="10" spans="1:6" ht="12.75">
      <c r="A10" s="48" t="s">
        <v>71</v>
      </c>
      <c r="B10" s="25"/>
      <c r="C10" s="25"/>
      <c r="E10" s="1"/>
      <c r="F10" s="1"/>
    </row>
    <row r="11" spans="1:3" ht="12.75">
      <c r="A11" s="25"/>
      <c r="B11" s="50" t="s">
        <v>75</v>
      </c>
      <c r="C11" s="25"/>
    </row>
    <row r="12" spans="1:6" ht="12.75">
      <c r="A12" s="25"/>
      <c r="B12" s="25"/>
      <c r="C12" s="25" t="s">
        <v>3</v>
      </c>
      <c r="E12" s="5">
        <f>$F$14-E$13-E$14</f>
        <v>5472575</v>
      </c>
      <c r="F12" s="1"/>
    </row>
    <row r="13" spans="1:6" ht="12.75">
      <c r="A13" s="25"/>
      <c r="B13" s="25"/>
      <c r="C13" s="25" t="s">
        <v>4</v>
      </c>
      <c r="E13" s="5">
        <v>818602</v>
      </c>
      <c r="F13" s="1"/>
    </row>
    <row r="14" spans="1:6" ht="12.75">
      <c r="A14" s="25"/>
      <c r="B14" s="25"/>
      <c r="C14" s="25" t="s">
        <v>5</v>
      </c>
      <c r="E14" s="5">
        <v>187868</v>
      </c>
      <c r="F14" s="3">
        <v>6479045</v>
      </c>
    </row>
    <row r="15" spans="1:6" ht="12.75">
      <c r="A15" s="25"/>
      <c r="B15" s="50" t="s">
        <v>72</v>
      </c>
      <c r="C15" s="25"/>
      <c r="E15" s="1"/>
      <c r="F15" s="1"/>
    </row>
    <row r="16" spans="1:6" ht="12.75">
      <c r="A16" s="25"/>
      <c r="B16" s="25"/>
      <c r="C16" s="25" t="s">
        <v>72</v>
      </c>
      <c r="E16" s="5">
        <v>1396084</v>
      </c>
      <c r="F16" s="1"/>
    </row>
    <row r="17" spans="1:6" ht="12.75">
      <c r="A17" s="25"/>
      <c r="B17" s="25"/>
      <c r="C17" s="25" t="s">
        <v>73</v>
      </c>
      <c r="E17" s="5">
        <v>35542</v>
      </c>
      <c r="F17" s="1"/>
    </row>
    <row r="18" spans="1:6" ht="12.75">
      <c r="A18" s="25"/>
      <c r="B18" s="25"/>
      <c r="C18" s="25" t="s">
        <v>74</v>
      </c>
      <c r="E18" s="5">
        <v>109708</v>
      </c>
      <c r="F18" s="3">
        <f>$E$16-$E$17-$E$18</f>
        <v>1250834</v>
      </c>
    </row>
    <row r="19" spans="1:6" ht="12.75">
      <c r="A19" s="25"/>
      <c r="B19" s="25" t="s">
        <v>76</v>
      </c>
      <c r="C19" s="25"/>
      <c r="F19" s="3">
        <v>7</v>
      </c>
    </row>
    <row r="20" spans="1:6" ht="13.5" thickBot="1">
      <c r="A20" s="25"/>
      <c r="B20" s="25" t="s">
        <v>77</v>
      </c>
      <c r="C20" s="25"/>
      <c r="E20" s="6"/>
      <c r="F20" s="54">
        <v>-11003</v>
      </c>
    </row>
    <row r="21" spans="1:6" ht="13.5" thickBot="1">
      <c r="A21" s="25"/>
      <c r="B21" s="47" t="s">
        <v>78</v>
      </c>
      <c r="C21" s="25"/>
      <c r="E21" s="6"/>
      <c r="F21" s="55">
        <f>$F$14+$F$18+$F$19+$F$20</f>
        <v>7718883</v>
      </c>
    </row>
    <row r="22" spans="1:5" ht="12.75">
      <c r="A22" s="25"/>
      <c r="B22" s="25"/>
      <c r="C22" s="25"/>
      <c r="E22" s="6"/>
    </row>
    <row r="23" spans="1:6" ht="12.75">
      <c r="A23" s="48" t="s">
        <v>79</v>
      </c>
      <c r="B23" s="25"/>
      <c r="C23" s="25"/>
      <c r="E23" s="6"/>
      <c r="F23" s="1"/>
    </row>
    <row r="24" spans="1:6" ht="12.75">
      <c r="A24" s="25"/>
      <c r="B24" s="50" t="s">
        <v>6</v>
      </c>
      <c r="C24" s="25"/>
      <c r="E24" s="6"/>
      <c r="F24" s="1"/>
    </row>
    <row r="25" spans="1:6" ht="12.75">
      <c r="A25" s="25"/>
      <c r="B25" s="25"/>
      <c r="C25" s="25" t="s">
        <v>7</v>
      </c>
      <c r="E25" s="5">
        <v>1048941</v>
      </c>
      <c r="F25" s="1"/>
    </row>
    <row r="26" spans="1:6" ht="12.75">
      <c r="A26" s="25"/>
      <c r="B26" s="25"/>
      <c r="C26" s="25" t="s">
        <v>8</v>
      </c>
      <c r="E26" s="5">
        <v>3806455</v>
      </c>
      <c r="F26" s="1"/>
    </row>
    <row r="27" spans="1:6" ht="12.75">
      <c r="A27" s="25"/>
      <c r="B27" s="25"/>
      <c r="C27" s="25" t="s">
        <v>80</v>
      </c>
      <c r="E27" s="5">
        <v>921181</v>
      </c>
      <c r="F27" s="3">
        <f>SUM($E$25:$E$27)</f>
        <v>5776577</v>
      </c>
    </row>
    <row r="28" spans="1:5" ht="12.75">
      <c r="A28" s="25"/>
      <c r="B28" s="50" t="s">
        <v>81</v>
      </c>
      <c r="C28" s="25"/>
      <c r="E28" s="1"/>
    </row>
    <row r="29" spans="1:6" ht="12.75">
      <c r="A29" s="25"/>
      <c r="B29" s="25"/>
      <c r="C29" s="25" t="s">
        <v>82</v>
      </c>
      <c r="E29" s="5">
        <v>625922</v>
      </c>
      <c r="F29" s="1"/>
    </row>
    <row r="30" spans="1:6" ht="12.75">
      <c r="A30" s="25"/>
      <c r="B30" s="25"/>
      <c r="C30" s="25" t="s">
        <v>83</v>
      </c>
      <c r="E30" s="5">
        <v>767663</v>
      </c>
      <c r="F30" s="1"/>
    </row>
    <row r="31" spans="1:6" ht="12.75">
      <c r="A31" s="25"/>
      <c r="B31" s="25"/>
      <c r="C31" s="25" t="s">
        <v>84</v>
      </c>
      <c r="D31" s="1"/>
      <c r="E31" s="5">
        <v>-123403</v>
      </c>
      <c r="F31" s="1"/>
    </row>
    <row r="32" spans="1:6" ht="12.75">
      <c r="A32" s="25"/>
      <c r="B32" s="25"/>
      <c r="C32" s="25" t="s">
        <v>85</v>
      </c>
      <c r="D32" s="1"/>
      <c r="E32" s="5">
        <f>$F$32-SUM($E$29:$E$31)</f>
        <v>-3458</v>
      </c>
      <c r="F32" s="3">
        <v>1266724</v>
      </c>
    </row>
    <row r="33" spans="1:6" ht="12.75">
      <c r="A33" s="25"/>
      <c r="B33" s="50" t="s">
        <v>9</v>
      </c>
      <c r="C33" s="25"/>
      <c r="D33" s="1"/>
      <c r="E33" s="1"/>
      <c r="F33" s="3">
        <v>210180</v>
      </c>
    </row>
    <row r="34" spans="1:6" ht="12.75">
      <c r="A34" s="25"/>
      <c r="B34" s="25" t="s">
        <v>86</v>
      </c>
      <c r="C34" s="25"/>
      <c r="E34" s="1"/>
      <c r="F34" s="3">
        <v>62</v>
      </c>
    </row>
    <row r="35" spans="1:6" ht="12.75">
      <c r="A35" s="25"/>
      <c r="B35" s="25" t="s">
        <v>10</v>
      </c>
      <c r="C35" s="25"/>
      <c r="E35" s="1"/>
      <c r="F35" s="3">
        <v>0</v>
      </c>
    </row>
    <row r="36" spans="1:6" ht="12.75">
      <c r="A36" s="25"/>
      <c r="B36" s="25" t="s">
        <v>11</v>
      </c>
      <c r="C36" s="25"/>
      <c r="F36" s="3">
        <v>293561</v>
      </c>
    </row>
    <row r="37" spans="1:6" ht="13.5" thickBot="1">
      <c r="A37" s="25"/>
      <c r="B37" s="25" t="s">
        <v>87</v>
      </c>
      <c r="C37" s="25"/>
      <c r="F37" s="54">
        <f>$F$38-($F$27+SUM($F$32:$F$36))</f>
        <v>171779</v>
      </c>
    </row>
    <row r="38" spans="1:6" ht="13.5" thickBot="1">
      <c r="A38" s="25"/>
      <c r="B38" s="25" t="s">
        <v>88</v>
      </c>
      <c r="C38" s="25"/>
      <c r="F38" s="55">
        <f>$F$14+$F$18+$F$19+$F$20</f>
        <v>7718883</v>
      </c>
    </row>
    <row r="39" spans="1:3" ht="12.75">
      <c r="A39" s="25"/>
      <c r="B39" s="25"/>
      <c r="C39" s="25"/>
    </row>
    <row r="40" spans="1:6" ht="12.75">
      <c r="A40" s="48" t="s">
        <v>89</v>
      </c>
      <c r="B40" s="25"/>
      <c r="C40" s="25"/>
      <c r="E40" s="1"/>
      <c r="F40" s="1"/>
    </row>
    <row r="41" spans="1:6" ht="12.75">
      <c r="A41" s="48" t="s">
        <v>90</v>
      </c>
      <c r="B41" s="25"/>
      <c r="C41" s="25"/>
      <c r="E41" s="1"/>
      <c r="F41" s="1"/>
    </row>
    <row r="42" spans="1:6" ht="12.75">
      <c r="A42" s="25"/>
      <c r="B42" s="50" t="s">
        <v>91</v>
      </c>
      <c r="C42" s="25"/>
      <c r="F42" s="1"/>
    </row>
    <row r="43" spans="1:7" ht="12.75">
      <c r="A43" s="25"/>
      <c r="B43" s="25"/>
      <c r="C43" s="25" t="s">
        <v>27</v>
      </c>
      <c r="E43" s="5">
        <v>814615</v>
      </c>
      <c r="F43" s="56" t="s">
        <v>138</v>
      </c>
      <c r="G43" s="57">
        <f>IF(E43&gt;0,E43/$F$50,0)</f>
        <v>0.020510814106204985</v>
      </c>
    </row>
    <row r="44" spans="1:7" ht="12.75">
      <c r="A44" s="25"/>
      <c r="B44" s="25"/>
      <c r="C44" s="25" t="s">
        <v>28</v>
      </c>
      <c r="E44" s="5">
        <v>23834838</v>
      </c>
      <c r="F44" s="56" t="s">
        <v>138</v>
      </c>
      <c r="G44" s="57">
        <f aca="true" t="shared" si="0" ref="G44:G50">IF(E44&gt;0,E44/$F$50,0)</f>
        <v>0.6001263559712386</v>
      </c>
    </row>
    <row r="45" spans="1:7" ht="12.75">
      <c r="A45" s="25"/>
      <c r="B45" s="25"/>
      <c r="C45" s="25" t="s">
        <v>29</v>
      </c>
      <c r="E45" s="5">
        <v>5217890</v>
      </c>
      <c r="F45" s="56" t="s">
        <v>138</v>
      </c>
      <c r="G45" s="57">
        <f t="shared" si="0"/>
        <v>0.13137883763081445</v>
      </c>
    </row>
    <row r="46" spans="1:7" ht="12.75">
      <c r="A46" s="25"/>
      <c r="B46" s="25"/>
      <c r="C46" s="25" t="s">
        <v>30</v>
      </c>
      <c r="E46" s="5">
        <v>1826377</v>
      </c>
      <c r="F46" s="56" t="s">
        <v>138</v>
      </c>
      <c r="G46" s="57">
        <f t="shared" si="0"/>
        <v>0.04598550129183521</v>
      </c>
    </row>
    <row r="47" spans="1:7" ht="12.75">
      <c r="A47" s="25"/>
      <c r="B47" s="25"/>
      <c r="C47" s="25" t="s">
        <v>31</v>
      </c>
      <c r="E47" s="5">
        <v>1508995</v>
      </c>
      <c r="F47" s="56" t="s">
        <v>138</v>
      </c>
      <c r="G47" s="57">
        <f t="shared" si="0"/>
        <v>0.03799428678847405</v>
      </c>
    </row>
    <row r="48" spans="1:7" ht="12.75">
      <c r="A48" s="25"/>
      <c r="B48" s="25"/>
      <c r="C48" s="25" t="s">
        <v>32</v>
      </c>
      <c r="E48" s="5">
        <v>601482</v>
      </c>
      <c r="F48" s="56" t="s">
        <v>138</v>
      </c>
      <c r="G48" s="57">
        <f t="shared" si="0"/>
        <v>0.015144436930609411</v>
      </c>
    </row>
    <row r="49" spans="1:7" ht="12.75">
      <c r="A49" s="25"/>
      <c r="B49" s="25"/>
      <c r="C49" s="25" t="s">
        <v>33</v>
      </c>
      <c r="E49" s="5">
        <v>5893975</v>
      </c>
      <c r="F49" s="56" t="s">
        <v>138</v>
      </c>
      <c r="G49" s="57">
        <f t="shared" si="0"/>
        <v>0.14840166897444745</v>
      </c>
    </row>
    <row r="50" spans="1:7" ht="13.5" thickBot="1">
      <c r="A50" s="25"/>
      <c r="B50" s="25"/>
      <c r="C50" s="25" t="s">
        <v>34</v>
      </c>
      <c r="E50" s="5">
        <v>18194</v>
      </c>
      <c r="F50" s="55">
        <f>SUM($E$43:$E$50)</f>
        <v>39716366</v>
      </c>
      <c r="G50" s="57">
        <f t="shared" si="0"/>
        <v>0.0004580983063757646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92</v>
      </c>
      <c r="B52" s="25"/>
      <c r="C52" s="25"/>
      <c r="E52" s="6"/>
      <c r="F52" s="6"/>
    </row>
    <row r="53" spans="1:3" ht="12.75">
      <c r="A53" s="25"/>
      <c r="B53" s="50" t="s">
        <v>93</v>
      </c>
      <c r="C53" s="25"/>
    </row>
    <row r="54" spans="1:5" ht="12.75">
      <c r="A54" s="25"/>
      <c r="B54" s="25"/>
      <c r="C54" s="25" t="s">
        <v>82</v>
      </c>
      <c r="E54" s="5">
        <v>22745468</v>
      </c>
    </row>
    <row r="55" spans="1:5" ht="12.75">
      <c r="A55" s="25"/>
      <c r="B55" s="25"/>
      <c r="C55" s="25" t="s">
        <v>83</v>
      </c>
      <c r="E55" s="5">
        <v>11175335</v>
      </c>
    </row>
    <row r="56" spans="1:5" ht="12.75">
      <c r="A56" s="25"/>
      <c r="B56" s="25"/>
      <c r="C56" s="25" t="s">
        <v>84</v>
      </c>
      <c r="E56" s="5">
        <v>1676686</v>
      </c>
    </row>
    <row r="57" spans="1:6" ht="12.75">
      <c r="A57" s="25"/>
      <c r="B57" s="25"/>
      <c r="C57" s="25" t="s">
        <v>94</v>
      </c>
      <c r="E57" s="5">
        <v>1480024</v>
      </c>
      <c r="F57" s="3">
        <f>SUM($E$54:$E$57)</f>
        <v>37077513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95</v>
      </c>
      <c r="B59" s="25"/>
      <c r="C59" s="25"/>
      <c r="E59" s="1"/>
      <c r="F59" s="1"/>
    </row>
    <row r="60" spans="1:6" ht="12.75">
      <c r="A60" s="25"/>
      <c r="B60" s="25"/>
      <c r="C60" s="25" t="s">
        <v>13</v>
      </c>
      <c r="F60" s="3">
        <v>332050</v>
      </c>
    </row>
    <row r="61" spans="1:6" ht="12.75">
      <c r="A61" s="25"/>
      <c r="B61" s="25"/>
      <c r="C61" s="25" t="s">
        <v>14</v>
      </c>
      <c r="F61" s="3">
        <f>$F$36</f>
        <v>293561</v>
      </c>
    </row>
    <row r="62" spans="1:6" ht="12.75">
      <c r="A62" s="25"/>
      <c r="B62" s="25"/>
      <c r="C62" s="25" t="s">
        <v>139</v>
      </c>
      <c r="F62" s="3">
        <v>915</v>
      </c>
    </row>
    <row r="63" spans="1:6" ht="12.75">
      <c r="A63" s="25"/>
      <c r="B63" s="25"/>
      <c r="C63" s="25" t="s">
        <v>15</v>
      </c>
      <c r="E63" s="5">
        <v>0</v>
      </c>
      <c r="F63" s="1"/>
    </row>
    <row r="64" spans="1:6" ht="13.5" thickBot="1">
      <c r="A64" s="25"/>
      <c r="B64" s="25"/>
      <c r="C64" s="25" t="s">
        <v>96</v>
      </c>
      <c r="E64" s="5">
        <v>202116</v>
      </c>
      <c r="F64" s="55">
        <f>$E$64+$E$63</f>
        <v>202116</v>
      </c>
    </row>
    <row r="65" spans="1:6" ht="13.5" thickBot="1">
      <c r="A65" s="25"/>
      <c r="B65" s="25"/>
      <c r="C65" s="25" t="s">
        <v>16</v>
      </c>
      <c r="F65" s="55">
        <f>$F$60+$F$61+$F$62-$F$64</f>
        <v>424410</v>
      </c>
    </row>
    <row r="66" spans="1:6" ht="12.75">
      <c r="A66" s="25"/>
      <c r="B66" s="25"/>
      <c r="C66" s="25"/>
      <c r="F66" s="1"/>
    </row>
    <row r="67" spans="1:6" ht="12.75">
      <c r="A67" s="48" t="s">
        <v>97</v>
      </c>
      <c r="B67" s="25"/>
      <c r="C67" s="25"/>
      <c r="F67" s="1"/>
    </row>
    <row r="68" spans="1:6" ht="12.75">
      <c r="A68" s="25"/>
      <c r="B68" s="25"/>
      <c r="C68" s="25" t="s">
        <v>13</v>
      </c>
      <c r="E68" s="26"/>
      <c r="F68" s="3">
        <v>513924</v>
      </c>
    </row>
    <row r="69" spans="1:6" ht="12.75">
      <c r="A69" s="25"/>
      <c r="B69" s="25"/>
      <c r="C69" s="25" t="s">
        <v>54</v>
      </c>
      <c r="E69" s="5">
        <v>19234</v>
      </c>
      <c r="F69" s="58"/>
    </row>
    <row r="70" spans="1:6" ht="12.75">
      <c r="A70" s="25"/>
      <c r="B70" s="25"/>
      <c r="C70" s="25" t="s">
        <v>98</v>
      </c>
      <c r="E70" s="5">
        <v>5789</v>
      </c>
      <c r="F70" s="3">
        <f>$E$69+$E$70</f>
        <v>25023</v>
      </c>
    </row>
    <row r="71" spans="1:6" ht="12.75">
      <c r="A71" s="25"/>
      <c r="B71" s="25"/>
      <c r="C71" s="25" t="s">
        <v>55</v>
      </c>
      <c r="E71" s="5">
        <v>24116</v>
      </c>
      <c r="F71" s="60"/>
    </row>
    <row r="72" spans="1:6" ht="13.5" thickBot="1">
      <c r="A72" s="49"/>
      <c r="B72" s="49"/>
      <c r="C72" s="25" t="s">
        <v>99</v>
      </c>
      <c r="E72" s="5">
        <v>0</v>
      </c>
      <c r="F72" s="55">
        <f>$E$72+$E$71</f>
        <v>24116</v>
      </c>
    </row>
    <row r="73" spans="1:6" ht="13.5" thickBot="1">
      <c r="A73" s="49"/>
      <c r="B73" s="49"/>
      <c r="C73" s="25" t="s">
        <v>16</v>
      </c>
      <c r="E73" s="26"/>
      <c r="F73" s="55">
        <f>$F$68+$F$70-$F$72</f>
        <v>514831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100</v>
      </c>
      <c r="B75" s="49"/>
      <c r="C75" s="25"/>
      <c r="E75" s="60"/>
      <c r="F75" s="61"/>
    </row>
    <row r="76" spans="1:7" ht="13.5" thickBot="1">
      <c r="A76" s="25"/>
      <c r="B76" s="25" t="s">
        <v>17</v>
      </c>
      <c r="C76" s="25" t="s">
        <v>101</v>
      </c>
      <c r="D76" s="26"/>
      <c r="E76" s="55">
        <f>$E$16-$E$17</f>
        <v>1360542</v>
      </c>
      <c r="F76" s="55">
        <f>$F$18</f>
        <v>1250834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12.75">
      <c r="A78" s="25"/>
      <c r="B78" s="25" t="s">
        <v>20</v>
      </c>
      <c r="C78" s="25" t="s">
        <v>102</v>
      </c>
      <c r="D78" s="26"/>
      <c r="E78" s="58" t="s">
        <v>18</v>
      </c>
      <c r="F78" s="58" t="s">
        <v>19</v>
      </c>
      <c r="G78" s="26"/>
    </row>
    <row r="79" spans="1:7" ht="12.75">
      <c r="A79" s="25"/>
      <c r="B79" s="25"/>
      <c r="C79" s="25" t="s">
        <v>21</v>
      </c>
      <c r="D79" s="26"/>
      <c r="E79" s="3">
        <v>37501902</v>
      </c>
      <c r="F79" s="3">
        <v>38519165</v>
      </c>
      <c r="G79" s="26"/>
    </row>
    <row r="80" spans="1:7" ht="12.75">
      <c r="A80" s="25"/>
      <c r="B80" s="25"/>
      <c r="C80" s="25" t="s">
        <v>23</v>
      </c>
      <c r="D80" s="26"/>
      <c r="E80" s="3">
        <v>39716366</v>
      </c>
      <c r="F80" s="3">
        <v>40173627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22</v>
      </c>
      <c r="C82" s="25" t="s">
        <v>103</v>
      </c>
      <c r="D82" s="59"/>
      <c r="E82" s="26"/>
      <c r="F82" s="59"/>
      <c r="G82" s="26"/>
    </row>
    <row r="83" spans="1:7" ht="13.5" thickBot="1">
      <c r="A83" s="25"/>
      <c r="B83" s="25"/>
      <c r="C83" s="25" t="s">
        <v>104</v>
      </c>
      <c r="D83" s="59"/>
      <c r="E83" s="61"/>
      <c r="F83" s="55">
        <f>$F$79-$E$79</f>
        <v>1017263</v>
      </c>
      <c r="G83" s="61"/>
    </row>
    <row r="84" spans="1:7" ht="13.5" thickBot="1">
      <c r="A84" s="25"/>
      <c r="B84" s="25"/>
      <c r="C84" s="25" t="s">
        <v>105</v>
      </c>
      <c r="D84" s="26"/>
      <c r="E84" s="26"/>
      <c r="F84" s="55">
        <f>$F$80-$E$80</f>
        <v>457261</v>
      </c>
      <c r="G84" s="26"/>
    </row>
    <row r="85" spans="1:7" ht="13.5" thickBot="1">
      <c r="A85" s="25"/>
      <c r="B85" s="25"/>
      <c r="C85" s="25" t="s">
        <v>106</v>
      </c>
      <c r="D85" s="59"/>
      <c r="E85" s="26"/>
      <c r="F85" s="55">
        <f>$F$84-$F$83</f>
        <v>-560002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24</v>
      </c>
      <c r="C87" s="25" t="s">
        <v>107</v>
      </c>
      <c r="D87" s="59"/>
      <c r="E87" s="57">
        <f>IF($E$79+$E$80&gt;0,E$76/(($E$79+$E$80)/2),0)</f>
        <v>0.03523886342542674</v>
      </c>
      <c r="F87" s="57">
        <f>IF($E$79+$E$80&gt;0,F$76/(($E$79+$E$80)/2),0)</f>
        <v>0.0323973596506982</v>
      </c>
      <c r="G87" s="61"/>
    </row>
    <row r="88" spans="1:7" ht="12.75">
      <c r="A88" s="25"/>
      <c r="B88" s="25" t="s">
        <v>25</v>
      </c>
      <c r="C88" s="25" t="s">
        <v>108</v>
      </c>
      <c r="D88" s="26"/>
      <c r="E88" s="57">
        <f>IF($F$79+$F$80&gt;0,(E$76+($F$80-$E$80)-($F$79-$E$79))/(($F$79+$F$80)/2),0)</f>
        <v>0.020345954938287104</v>
      </c>
      <c r="F88" s="57">
        <f>IF($F$79+$F$80&gt;0,(F$76+($F$80-$E$80)-($F$79-$E$79))/(($F$79+$F$80)/2),0)</f>
        <v>0.017557694483631994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26</v>
      </c>
      <c r="C90" s="25" t="s">
        <v>109</v>
      </c>
      <c r="D90" s="26"/>
      <c r="E90" s="59"/>
      <c r="F90" s="26"/>
      <c r="G90" s="62"/>
    </row>
    <row r="91" spans="1:7" ht="12.75">
      <c r="A91" s="25"/>
      <c r="B91" s="25"/>
      <c r="C91" s="25" t="s">
        <v>110</v>
      </c>
      <c r="D91" s="26"/>
      <c r="E91" s="68"/>
      <c r="F91" s="67">
        <v>0.05835</v>
      </c>
      <c r="G91" s="59"/>
    </row>
    <row r="92" spans="1:7" ht="12.75">
      <c r="A92" s="25"/>
      <c r="B92" s="25"/>
      <c r="C92" s="25" t="s">
        <v>111</v>
      </c>
      <c r="D92" s="26"/>
      <c r="E92" s="68"/>
      <c r="F92" s="67">
        <v>0.05574</v>
      </c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35</v>
      </c>
      <c r="C94" s="25" t="s">
        <v>37</v>
      </c>
      <c r="D94" s="26"/>
      <c r="E94" s="64"/>
      <c r="F94" s="26"/>
      <c r="G94" s="65"/>
    </row>
    <row r="95" spans="1:7" ht="12.75">
      <c r="A95" s="25"/>
      <c r="B95" s="25"/>
      <c r="C95" s="25" t="s">
        <v>112</v>
      </c>
      <c r="D95" s="26"/>
      <c r="E95" s="26"/>
      <c r="F95" s="8">
        <v>415823</v>
      </c>
      <c r="G95" s="26"/>
    </row>
    <row r="96" spans="1:7" ht="12.75">
      <c r="A96" s="25"/>
      <c r="B96" s="25"/>
      <c r="C96" s="25" t="s">
        <v>113</v>
      </c>
      <c r="D96" s="26"/>
      <c r="E96" s="26"/>
      <c r="F96" s="8">
        <v>63378</v>
      </c>
      <c r="G96" s="26"/>
    </row>
    <row r="97" spans="1:7" ht="13.5" thickBot="1">
      <c r="A97" s="25"/>
      <c r="B97" s="25"/>
      <c r="C97" s="25" t="s">
        <v>114</v>
      </c>
      <c r="D97" s="26"/>
      <c r="E97" s="61"/>
      <c r="F97" s="69">
        <v>117608</v>
      </c>
      <c r="G97" s="26"/>
    </row>
    <row r="98" spans="1:7" ht="13.5" thickBot="1">
      <c r="A98" s="25"/>
      <c r="B98" s="25"/>
      <c r="C98" s="25" t="s">
        <v>115</v>
      </c>
      <c r="D98" s="26"/>
      <c r="E98" s="61"/>
      <c r="F98" s="70">
        <f>SUM($F$95:$F$97)</f>
        <v>596809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36</v>
      </c>
      <c r="C100" s="25" t="s">
        <v>43</v>
      </c>
    </row>
    <row r="101" spans="1:6" ht="12.75">
      <c r="A101" s="25"/>
      <c r="B101" s="25"/>
      <c r="C101" s="25" t="s">
        <v>116</v>
      </c>
      <c r="F101" s="3">
        <f>$E$18</f>
        <v>109708</v>
      </c>
    </row>
    <row r="102" spans="1:6" ht="12.75">
      <c r="A102" s="25"/>
      <c r="B102" s="25"/>
      <c r="C102" s="25" t="s">
        <v>117</v>
      </c>
      <c r="F102" s="57">
        <f>IF($F$101&gt;0,$F$101/(($F$79+$F$80)/2),0)</f>
        <v>0.00278826045465511</v>
      </c>
    </row>
    <row r="103" spans="1:5" ht="12.75">
      <c r="A103" s="25"/>
      <c r="B103" s="25"/>
      <c r="C103" s="25" t="s">
        <v>9</v>
      </c>
      <c r="E103" s="5">
        <v>210180</v>
      </c>
    </row>
    <row r="104" spans="1:6" ht="13.5" thickBot="1">
      <c r="A104" s="25"/>
      <c r="B104" s="25"/>
      <c r="C104" s="25" t="s">
        <v>118</v>
      </c>
      <c r="E104" s="5">
        <v>5362</v>
      </c>
      <c r="F104" s="55">
        <f>$E$103-$E$104</f>
        <v>204818</v>
      </c>
    </row>
    <row r="105" spans="1:6" ht="12.75">
      <c r="A105" s="25"/>
      <c r="B105" s="25"/>
      <c r="C105" s="25" t="s">
        <v>119</v>
      </c>
      <c r="F105" s="3">
        <f>IF(F$98&gt;0,(1000*F$104)/F$98,0)</f>
        <v>343.1885243017448</v>
      </c>
    </row>
    <row r="106" spans="1:6" ht="12.75">
      <c r="A106" s="25"/>
      <c r="B106" s="25"/>
      <c r="C106" s="25" t="s">
        <v>120</v>
      </c>
      <c r="F106" s="3">
        <f>IF($F$98&gt;0,$E$14*1000/$F$98,0)</f>
        <v>314.7874780708736</v>
      </c>
    </row>
    <row r="107" spans="1:3" ht="12.75">
      <c r="A107" s="25"/>
      <c r="B107" s="25"/>
      <c r="C107" s="25"/>
    </row>
    <row r="108" spans="1:3" ht="12.75">
      <c r="A108" s="48" t="s">
        <v>144</v>
      </c>
      <c r="B108" s="25"/>
      <c r="C108" s="25"/>
    </row>
    <row r="109" spans="1:7" ht="12.75">
      <c r="A109" s="25"/>
      <c r="B109" s="50" t="s">
        <v>56</v>
      </c>
      <c r="C109" s="25"/>
      <c r="D109" s="108" t="s">
        <v>142</v>
      </c>
      <c r="E109" s="108"/>
      <c r="F109" s="108" t="s">
        <v>143</v>
      </c>
      <c r="G109" s="108"/>
    </row>
    <row r="110" spans="1:6" ht="12.75">
      <c r="A110" s="25"/>
      <c r="B110" s="25"/>
      <c r="C110" s="25" t="s">
        <v>121</v>
      </c>
      <c r="D110" s="89">
        <v>1250834</v>
      </c>
      <c r="F110" s="89">
        <v>0</v>
      </c>
    </row>
    <row r="111" spans="1:6" ht="12.75">
      <c r="A111" s="25"/>
      <c r="B111" s="25"/>
      <c r="C111" s="25" t="s">
        <v>122</v>
      </c>
      <c r="D111" s="5">
        <v>643375</v>
      </c>
      <c r="F111" s="5">
        <v>175227</v>
      </c>
    </row>
    <row r="112" spans="1:7" ht="12.75">
      <c r="A112" s="25"/>
      <c r="B112" s="25"/>
      <c r="C112" s="25" t="s">
        <v>123</v>
      </c>
      <c r="D112" s="5">
        <v>150421</v>
      </c>
      <c r="E112" s="3">
        <f>SUM($D$110:$D$112)</f>
        <v>2044630</v>
      </c>
      <c r="F112" s="5">
        <v>37447</v>
      </c>
      <c r="G112" s="3">
        <f>SUM($F$110:$F$112)</f>
        <v>212674</v>
      </c>
    </row>
    <row r="113" spans="1:3" ht="12.75">
      <c r="A113" s="25"/>
      <c r="B113" s="50" t="s">
        <v>57</v>
      </c>
      <c r="C113" s="25"/>
    </row>
    <row r="114" spans="1:6" ht="12.75">
      <c r="A114" s="25"/>
      <c r="B114" s="25"/>
      <c r="C114" s="25" t="s">
        <v>124</v>
      </c>
      <c r="D114" s="5">
        <v>1078632</v>
      </c>
      <c r="F114" s="5">
        <v>0</v>
      </c>
    </row>
    <row r="115" spans="1:6" ht="12.75">
      <c r="A115" s="25"/>
      <c r="B115" s="25"/>
      <c r="C115" s="25" t="s">
        <v>125</v>
      </c>
      <c r="D115" s="5">
        <v>255341</v>
      </c>
      <c r="F115" s="5">
        <v>108620</v>
      </c>
    </row>
    <row r="116" spans="1:7" ht="12.75">
      <c r="A116" s="25"/>
      <c r="B116" s="25"/>
      <c r="C116" s="25" t="s">
        <v>126</v>
      </c>
      <c r="D116" s="5">
        <v>167674</v>
      </c>
      <c r="E116" s="3">
        <f>SUM($D$114:$D$116)</f>
        <v>1501647</v>
      </c>
      <c r="F116" s="5">
        <v>30324</v>
      </c>
      <c r="G116" s="3">
        <f>SUM($F$114:$F$116)</f>
        <v>138944</v>
      </c>
    </row>
    <row r="117" spans="1:7" ht="14.25">
      <c r="A117" s="25"/>
      <c r="B117" s="51" t="s">
        <v>136</v>
      </c>
      <c r="C117" s="25"/>
      <c r="E117" s="3">
        <f>$E$112-$E$116</f>
        <v>542983</v>
      </c>
      <c r="G117" s="3">
        <f>$G$112-$G$116</f>
        <v>73730</v>
      </c>
    </row>
    <row r="118" spans="1:3" ht="12.75">
      <c r="A118" s="25"/>
      <c r="B118" s="50" t="s">
        <v>127</v>
      </c>
      <c r="C118" s="25"/>
    </row>
    <row r="119" spans="1:6" ht="12.75">
      <c r="A119" s="25"/>
      <c r="B119" s="25"/>
      <c r="C119" s="25" t="s">
        <v>128</v>
      </c>
      <c r="D119" s="5">
        <v>50000</v>
      </c>
      <c r="F119" s="5">
        <v>0</v>
      </c>
    </row>
    <row r="120" spans="1:6" ht="12.75">
      <c r="A120" s="25"/>
      <c r="B120" s="25"/>
      <c r="C120" s="25" t="s">
        <v>129</v>
      </c>
      <c r="D120" s="5">
        <v>20000</v>
      </c>
      <c r="F120" s="5">
        <v>0</v>
      </c>
    </row>
    <row r="121" spans="1:6" ht="12.75">
      <c r="A121" s="25"/>
      <c r="B121" s="25"/>
      <c r="C121" s="25" t="s">
        <v>130</v>
      </c>
      <c r="D121" s="5">
        <v>148544</v>
      </c>
      <c r="F121" s="5">
        <v>0</v>
      </c>
    </row>
    <row r="122" spans="1:6" ht="12.75">
      <c r="A122" s="25"/>
      <c r="B122" s="25"/>
      <c r="C122" s="25" t="s">
        <v>131</v>
      </c>
      <c r="D122" s="5">
        <v>-67171</v>
      </c>
      <c r="F122" s="5">
        <v>0</v>
      </c>
    </row>
    <row r="123" spans="1:6" ht="12.75">
      <c r="A123" s="25"/>
      <c r="B123" s="25"/>
      <c r="C123" s="25" t="s">
        <v>132</v>
      </c>
      <c r="D123" s="5">
        <v>0</v>
      </c>
      <c r="F123" s="5">
        <v>0</v>
      </c>
    </row>
    <row r="124" spans="1:6" ht="12.75">
      <c r="A124" s="25"/>
      <c r="B124" s="25"/>
      <c r="C124" s="25" t="s">
        <v>133</v>
      </c>
      <c r="D124" s="5">
        <v>0</v>
      </c>
      <c r="F124" s="5">
        <v>0</v>
      </c>
    </row>
    <row r="125" spans="1:6" ht="12.75">
      <c r="A125" s="25"/>
      <c r="B125" s="25"/>
      <c r="C125" s="25" t="s">
        <v>134</v>
      </c>
      <c r="D125" s="5">
        <v>0</v>
      </c>
      <c r="F125" s="5">
        <v>0</v>
      </c>
    </row>
    <row r="126" spans="1:7" ht="12.75">
      <c r="A126" s="25"/>
      <c r="B126" s="25"/>
      <c r="C126" s="25" t="s">
        <v>135</v>
      </c>
      <c r="D126" s="5">
        <v>0</v>
      </c>
      <c r="E126" s="3">
        <f>SUM($D$119:$D$126)</f>
        <v>151373</v>
      </c>
      <c r="F126" s="5">
        <v>0</v>
      </c>
      <c r="G126" s="3">
        <f>SUM($F$119:$F$126)</f>
        <v>0</v>
      </c>
    </row>
    <row r="127" spans="1:5" ht="12.75">
      <c r="A127" s="25"/>
      <c r="B127" s="25" t="s">
        <v>58</v>
      </c>
      <c r="C127" s="25"/>
      <c r="E127" s="3">
        <v>0</v>
      </c>
    </row>
    <row r="128" spans="1:7" ht="13.5" thickBot="1">
      <c r="A128" s="25"/>
      <c r="B128" s="25" t="s">
        <v>59</v>
      </c>
      <c r="C128" s="25"/>
      <c r="E128" s="54">
        <v>217816</v>
      </c>
      <c r="G128" s="55">
        <v>75745</v>
      </c>
    </row>
    <row r="129" spans="1:7" ht="13.5" thickBot="1">
      <c r="A129" s="25"/>
      <c r="B129" s="25" t="s">
        <v>12</v>
      </c>
      <c r="C129" s="25"/>
      <c r="E129" s="55">
        <f>$E$117-SUM($E$126:$E$128)</f>
        <v>173794</v>
      </c>
      <c r="G129" s="55">
        <f>$G$117-$G$126-$G$128</f>
        <v>-2015</v>
      </c>
    </row>
    <row r="130" spans="1:7" ht="12.75">
      <c r="A130" s="25"/>
      <c r="B130" s="25" t="s">
        <v>64</v>
      </c>
      <c r="C130" s="25"/>
      <c r="E130" s="57">
        <f>IF(E$112&gt;0,MIN(MAX((E$116+E$126+E$127+E$128)/E$112,0.9),1),0)</f>
        <v>0.9149997799112798</v>
      </c>
      <c r="G130" s="57">
        <f>IF(G$112&gt;0,MIN((G$116+G$126+G$127+G$128)/G$112,1),0)</f>
        <v>1</v>
      </c>
    </row>
    <row r="131" spans="1:3" ht="12.75">
      <c r="A131" s="25"/>
      <c r="C131" s="25"/>
    </row>
    <row r="132" spans="1:6" ht="12.75">
      <c r="A132" s="25"/>
      <c r="B132" s="50" t="s">
        <v>60</v>
      </c>
      <c r="C132" s="25"/>
      <c r="F132" t="s">
        <v>141</v>
      </c>
    </row>
    <row r="133" spans="1:6" ht="12.75">
      <c r="A133" s="25"/>
      <c r="B133" s="25"/>
      <c r="C133" s="25" t="s">
        <v>61</v>
      </c>
      <c r="E133" s="3">
        <f>$E$129</f>
        <v>173794</v>
      </c>
      <c r="F133" s="57">
        <f>IF($E$112&gt;0,$E$133/$E$112,0)</f>
        <v>0.08500022008872021</v>
      </c>
    </row>
    <row r="134" spans="1:6" ht="12.75">
      <c r="A134" s="25"/>
      <c r="B134" s="25"/>
      <c r="C134" s="25" t="s">
        <v>62</v>
      </c>
      <c r="E134" s="3">
        <f>$G$129</f>
        <v>-2015</v>
      </c>
      <c r="F134" s="57">
        <f>IF($G$112&gt;0,$E$134/$G$112,0)</f>
        <v>-0.009474594919924391</v>
      </c>
    </row>
    <row r="135" spans="2:5" ht="12.75">
      <c r="B135" s="25"/>
      <c r="C135" s="25" t="s">
        <v>87</v>
      </c>
      <c r="E135" s="3">
        <f>SUM(E133:$E$134)</f>
        <v>171779</v>
      </c>
    </row>
    <row r="137" spans="2:3" ht="12.75">
      <c r="B137" s="53" t="s">
        <v>137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43" right="0.16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6">
    <tabColor indexed="1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47" t="s">
        <v>69</v>
      </c>
      <c r="B1" s="47"/>
      <c r="C1" s="25"/>
    </row>
    <row r="2" spans="1:3" ht="12.75">
      <c r="A2" s="25" t="s">
        <v>0</v>
      </c>
      <c r="B2" s="25"/>
      <c r="C2" s="25"/>
    </row>
    <row r="3" spans="1:3" ht="12.75">
      <c r="A3" s="48" t="s">
        <v>40</v>
      </c>
      <c r="B3" s="48"/>
      <c r="C3" s="25"/>
    </row>
    <row r="4" spans="1:3" ht="12.75">
      <c r="A4" s="25"/>
      <c r="B4" s="25"/>
      <c r="C4" s="25"/>
    </row>
    <row r="5" spans="1:3" ht="12.75">
      <c r="A5" s="25" t="s">
        <v>38</v>
      </c>
      <c r="B5" s="25"/>
      <c r="C5" s="25"/>
    </row>
    <row r="6" spans="1:3" ht="12.75">
      <c r="A6" s="25"/>
      <c r="B6" s="25"/>
      <c r="C6" s="25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</v>
      </c>
      <c r="F8" s="2" t="s">
        <v>2</v>
      </c>
      <c r="G8" s="2"/>
    </row>
    <row r="9" spans="1:3" ht="12.75">
      <c r="A9" s="48" t="s">
        <v>70</v>
      </c>
      <c r="B9" s="48"/>
      <c r="C9" s="25"/>
    </row>
    <row r="10" spans="1:6" ht="12.75">
      <c r="A10" s="48" t="s">
        <v>71</v>
      </c>
      <c r="B10" s="25"/>
      <c r="C10" s="25"/>
      <c r="E10" s="1"/>
      <c r="F10" s="1"/>
    </row>
    <row r="11" spans="1:3" ht="12.75">
      <c r="A11" s="25"/>
      <c r="B11" s="50" t="s">
        <v>75</v>
      </c>
      <c r="C11" s="25"/>
    </row>
    <row r="12" spans="1:6" ht="12.75">
      <c r="A12" s="25"/>
      <c r="B12" s="25"/>
      <c r="C12" s="25" t="s">
        <v>3</v>
      </c>
      <c r="E12" s="5">
        <f>$F$14-E$13-E$14</f>
        <v>6572.9858</v>
      </c>
      <c r="F12" s="1"/>
    </row>
    <row r="13" spans="1:6" ht="12.75">
      <c r="A13" s="25"/>
      <c r="B13" s="25"/>
      <c r="C13" s="25" t="s">
        <v>4</v>
      </c>
      <c r="E13" s="5">
        <v>1271.3645999999999</v>
      </c>
      <c r="F13" s="1"/>
    </row>
    <row r="14" spans="1:6" ht="12.75">
      <c r="A14" s="25"/>
      <c r="B14" s="25"/>
      <c r="C14" s="25" t="s">
        <v>5</v>
      </c>
      <c r="E14" s="5">
        <v>110.9426</v>
      </c>
      <c r="F14" s="3">
        <v>7955.293000000001</v>
      </c>
    </row>
    <row r="15" spans="1:6" ht="12.75">
      <c r="A15" s="25"/>
      <c r="B15" s="50" t="s">
        <v>72</v>
      </c>
      <c r="C15" s="25"/>
      <c r="E15" s="1"/>
      <c r="F15" s="1"/>
    </row>
    <row r="16" spans="1:6" ht="12.75">
      <c r="A16" s="25"/>
      <c r="B16" s="25"/>
      <c r="C16" s="25" t="s">
        <v>72</v>
      </c>
      <c r="E16" s="5">
        <v>2002</v>
      </c>
      <c r="F16" s="1"/>
    </row>
    <row r="17" spans="1:6" ht="12.75">
      <c r="A17" s="25"/>
      <c r="B17" s="25"/>
      <c r="C17" s="25" t="s">
        <v>73</v>
      </c>
      <c r="E17" s="5">
        <v>728</v>
      </c>
      <c r="F17" s="1"/>
    </row>
    <row r="18" spans="1:6" ht="12.75">
      <c r="A18" s="25"/>
      <c r="B18" s="25"/>
      <c r="C18" s="25" t="s">
        <v>74</v>
      </c>
      <c r="E18" s="5">
        <v>276</v>
      </c>
      <c r="F18" s="3">
        <f>$E$16-$E$17-$E$18</f>
        <v>998</v>
      </c>
    </row>
    <row r="19" spans="1:6" ht="12.75">
      <c r="A19" s="25"/>
      <c r="B19" s="25" t="s">
        <v>76</v>
      </c>
      <c r="C19" s="25"/>
      <c r="F19" s="3">
        <v>108.72439999999999</v>
      </c>
    </row>
    <row r="20" spans="1:6" ht="13.5" thickBot="1">
      <c r="A20" s="25"/>
      <c r="B20" s="25" t="s">
        <v>77</v>
      </c>
      <c r="C20" s="25"/>
      <c r="E20" s="6"/>
      <c r="F20" s="54">
        <v>-290.10726345703154</v>
      </c>
    </row>
    <row r="21" spans="1:6" ht="13.5" thickBot="1">
      <c r="A21" s="25"/>
      <c r="B21" s="47" t="s">
        <v>78</v>
      </c>
      <c r="C21" s="25"/>
      <c r="E21" s="6"/>
      <c r="F21" s="55">
        <f>$F$14+$F$18+$F$19+$F$20</f>
        <v>8771.910136542969</v>
      </c>
    </row>
    <row r="22" spans="1:5" ht="12.75">
      <c r="A22" s="25"/>
      <c r="B22" s="25"/>
      <c r="C22" s="25"/>
      <c r="E22" s="6"/>
    </row>
    <row r="23" spans="1:6" ht="12.75">
      <c r="A23" s="48" t="s">
        <v>79</v>
      </c>
      <c r="B23" s="25"/>
      <c r="C23" s="25"/>
      <c r="E23" s="6"/>
      <c r="F23" s="1"/>
    </row>
    <row r="24" spans="1:6" ht="12.75">
      <c r="A24" s="25"/>
      <c r="B24" s="50" t="s">
        <v>6</v>
      </c>
      <c r="C24" s="25"/>
      <c r="E24" s="6"/>
      <c r="F24" s="1"/>
    </row>
    <row r="25" spans="1:6" ht="12.75">
      <c r="A25" s="25"/>
      <c r="B25" s="25"/>
      <c r="C25" s="25" t="s">
        <v>7</v>
      </c>
      <c r="E25" s="5">
        <v>2392.255</v>
      </c>
      <c r="F25" s="1"/>
    </row>
    <row r="26" spans="1:6" ht="12.75">
      <c r="A26" s="25"/>
      <c r="B26" s="25"/>
      <c r="C26" s="25" t="s">
        <v>8</v>
      </c>
      <c r="E26" s="5">
        <v>2279.544</v>
      </c>
      <c r="F26" s="1"/>
    </row>
    <row r="27" spans="1:6" ht="12.75">
      <c r="A27" s="25"/>
      <c r="B27" s="25"/>
      <c r="C27" s="25" t="s">
        <v>80</v>
      </c>
      <c r="E27" s="5">
        <v>89064.579</v>
      </c>
      <c r="F27" s="3">
        <f>SUM($E$25:$E$27)</f>
        <v>93736.378</v>
      </c>
    </row>
    <row r="28" spans="1:5" ht="12.75">
      <c r="A28" s="25"/>
      <c r="B28" s="50" t="s">
        <v>81</v>
      </c>
      <c r="C28" s="25"/>
      <c r="E28" s="1"/>
    </row>
    <row r="29" spans="1:6" ht="12.75">
      <c r="A29" s="25"/>
      <c r="B29" s="25"/>
      <c r="C29" s="25" t="s">
        <v>82</v>
      </c>
      <c r="E29" s="5">
        <v>-53694.837</v>
      </c>
      <c r="F29" s="1"/>
    </row>
    <row r="30" spans="1:6" ht="12.75">
      <c r="A30" s="25"/>
      <c r="B30" s="25"/>
      <c r="C30" s="25" t="s">
        <v>83</v>
      </c>
      <c r="E30" s="5">
        <v>-10510.7972</v>
      </c>
      <c r="F30" s="1"/>
    </row>
    <row r="31" spans="1:6" ht="12.75">
      <c r="A31" s="25"/>
      <c r="B31" s="25"/>
      <c r="C31" s="25" t="s">
        <v>84</v>
      </c>
      <c r="D31" s="1"/>
      <c r="E31" s="5">
        <v>4420.225999999999</v>
      </c>
      <c r="F31" s="1"/>
    </row>
    <row r="32" spans="1:6" ht="12.75">
      <c r="A32" s="25"/>
      <c r="B32" s="25"/>
      <c r="C32" s="25" t="s">
        <v>85</v>
      </c>
      <c r="D32" s="1"/>
      <c r="E32" s="5">
        <f>$F$32-SUM($E$29:$E$31)</f>
        <v>-25852.934799999988</v>
      </c>
      <c r="F32" s="3">
        <v>-85638.343</v>
      </c>
    </row>
    <row r="33" spans="1:6" ht="12.75">
      <c r="A33" s="25"/>
      <c r="B33" s="50" t="s">
        <v>9</v>
      </c>
      <c r="C33" s="25"/>
      <c r="D33" s="1"/>
      <c r="E33" s="1"/>
      <c r="F33" s="3">
        <v>1295.249</v>
      </c>
    </row>
    <row r="34" spans="1:6" ht="12.75">
      <c r="A34" s="25"/>
      <c r="B34" s="25" t="s">
        <v>86</v>
      </c>
      <c r="C34" s="25"/>
      <c r="E34" s="1"/>
      <c r="F34" s="3">
        <v>13</v>
      </c>
    </row>
    <row r="35" spans="1:6" ht="12.75">
      <c r="A35" s="25"/>
      <c r="B35" s="25" t="s">
        <v>10</v>
      </c>
      <c r="C35" s="25"/>
      <c r="E35" s="1"/>
      <c r="F35" s="3">
        <v>0</v>
      </c>
    </row>
    <row r="36" spans="1:6" ht="12.75">
      <c r="A36" s="25"/>
      <c r="B36" s="25" t="s">
        <v>11</v>
      </c>
      <c r="C36" s="25"/>
      <c r="F36" s="3">
        <v>0</v>
      </c>
    </row>
    <row r="37" spans="1:6" ht="13.5" thickBot="1">
      <c r="A37" s="25"/>
      <c r="B37" s="25" t="s">
        <v>87</v>
      </c>
      <c r="C37" s="25"/>
      <c r="F37" s="54">
        <f>$F$38-($F$27+SUM($F$32:$F$36))</f>
        <v>-634.3738634570309</v>
      </c>
    </row>
    <row r="38" spans="1:6" ht="13.5" thickBot="1">
      <c r="A38" s="25"/>
      <c r="B38" s="25" t="s">
        <v>88</v>
      </c>
      <c r="C38" s="25"/>
      <c r="F38" s="55">
        <f>$F$14+$F$18+$F$19+$F$20</f>
        <v>8771.910136542969</v>
      </c>
    </row>
    <row r="39" spans="1:3" ht="12.75">
      <c r="A39" s="25"/>
      <c r="B39" s="25"/>
      <c r="C39" s="25"/>
    </row>
    <row r="40" spans="1:6" ht="12.75">
      <c r="A40" s="48" t="s">
        <v>89</v>
      </c>
      <c r="B40" s="25"/>
      <c r="C40" s="25"/>
      <c r="E40" s="1"/>
      <c r="F40" s="1"/>
    </row>
    <row r="41" spans="1:6" ht="12.75">
      <c r="A41" s="48" t="s">
        <v>90</v>
      </c>
      <c r="B41" s="25"/>
      <c r="C41" s="25"/>
      <c r="E41" s="1"/>
      <c r="F41" s="1"/>
    </row>
    <row r="42" spans="1:6" ht="12.75">
      <c r="A42" s="25"/>
      <c r="B42" s="50" t="s">
        <v>91</v>
      </c>
      <c r="C42" s="25"/>
      <c r="F42" s="1"/>
    </row>
    <row r="43" spans="1:7" ht="12.75">
      <c r="A43" s="25"/>
      <c r="B43" s="25"/>
      <c r="C43" s="25" t="s">
        <v>27</v>
      </c>
      <c r="E43" s="5">
        <v>10984.96495</v>
      </c>
      <c r="F43" s="56" t="s">
        <v>138</v>
      </c>
      <c r="G43" s="57">
        <f>IF(E43&gt;0,E43/$F$50,0)</f>
        <v>0.15663055109436094</v>
      </c>
    </row>
    <row r="44" spans="1:7" ht="12.75">
      <c r="A44" s="25"/>
      <c r="B44" s="25"/>
      <c r="C44" s="25" t="s">
        <v>28</v>
      </c>
      <c r="E44" s="5">
        <v>33271</v>
      </c>
      <c r="F44" s="56" t="s">
        <v>138</v>
      </c>
      <c r="G44" s="57">
        <f aca="true" t="shared" si="0" ref="G44:G50">IF(E44&gt;0,E44/$F$50,0)</f>
        <v>0.47439887966692906</v>
      </c>
    </row>
    <row r="45" spans="1:7" ht="12.75">
      <c r="A45" s="25"/>
      <c r="B45" s="25"/>
      <c r="C45" s="25" t="s">
        <v>29</v>
      </c>
      <c r="E45" s="5">
        <v>0</v>
      </c>
      <c r="F45" s="56" t="s">
        <v>138</v>
      </c>
      <c r="G45" s="57">
        <f t="shared" si="0"/>
        <v>0</v>
      </c>
    </row>
    <row r="46" spans="1:7" ht="12.75">
      <c r="A46" s="25"/>
      <c r="B46" s="25"/>
      <c r="C46" s="25" t="s">
        <v>30</v>
      </c>
      <c r="E46" s="5">
        <v>25877</v>
      </c>
      <c r="F46" s="56" t="s">
        <v>138</v>
      </c>
      <c r="G46" s="57">
        <f t="shared" si="0"/>
        <v>0.3689705692387101</v>
      </c>
    </row>
    <row r="47" spans="1:7" ht="12.75">
      <c r="A47" s="25"/>
      <c r="B47" s="25"/>
      <c r="C47" s="25" t="s">
        <v>31</v>
      </c>
      <c r="E47" s="5">
        <v>0</v>
      </c>
      <c r="F47" s="56" t="s">
        <v>138</v>
      </c>
      <c r="G47" s="57">
        <f t="shared" si="0"/>
        <v>0</v>
      </c>
    </row>
    <row r="48" spans="1:7" ht="12.75">
      <c r="A48" s="25"/>
      <c r="B48" s="25"/>
      <c r="C48" s="25" t="s">
        <v>32</v>
      </c>
      <c r="E48" s="5">
        <v>0</v>
      </c>
      <c r="F48" s="56" t="s">
        <v>138</v>
      </c>
      <c r="G48" s="57">
        <f t="shared" si="0"/>
        <v>0</v>
      </c>
    </row>
    <row r="49" spans="1:7" ht="12.75">
      <c r="A49" s="25"/>
      <c r="B49" s="25"/>
      <c r="C49" s="25" t="s">
        <v>33</v>
      </c>
      <c r="E49" s="5">
        <v>0</v>
      </c>
      <c r="F49" s="56" t="s">
        <v>138</v>
      </c>
      <c r="G49" s="57">
        <f t="shared" si="0"/>
        <v>0</v>
      </c>
    </row>
    <row r="50" spans="1:7" ht="13.5" thickBot="1">
      <c r="A50" s="25"/>
      <c r="B50" s="25"/>
      <c r="C50" s="25" t="s">
        <v>34</v>
      </c>
      <c r="E50" s="5">
        <v>0</v>
      </c>
      <c r="F50" s="55">
        <f>SUM($E$43:$E$50)</f>
        <v>70132.96495</v>
      </c>
      <c r="G50" s="57">
        <f t="shared" si="0"/>
        <v>0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92</v>
      </c>
      <c r="B52" s="25"/>
      <c r="C52" s="25"/>
      <c r="E52" s="6"/>
      <c r="F52" s="6"/>
    </row>
    <row r="53" spans="1:3" ht="12.75">
      <c r="A53" s="25"/>
      <c r="B53" s="50" t="s">
        <v>93</v>
      </c>
      <c r="C53" s="25"/>
    </row>
    <row r="54" spans="1:5" ht="12.75">
      <c r="A54" s="25"/>
      <c r="B54" s="25"/>
      <c r="C54" s="25" t="s">
        <v>82</v>
      </c>
      <c r="E54" s="5">
        <v>0</v>
      </c>
    </row>
    <row r="55" spans="1:5" ht="12.75">
      <c r="A55" s="25"/>
      <c r="B55" s="25"/>
      <c r="C55" s="25" t="s">
        <v>83</v>
      </c>
      <c r="E55" s="5">
        <v>9510.684799999999</v>
      </c>
    </row>
    <row r="56" spans="1:5" ht="12.75">
      <c r="A56" s="25"/>
      <c r="B56" s="25"/>
      <c r="C56" s="25" t="s">
        <v>84</v>
      </c>
      <c r="E56" s="5">
        <v>17837.581</v>
      </c>
    </row>
    <row r="57" spans="1:6" ht="12.75">
      <c r="A57" s="25"/>
      <c r="B57" s="25"/>
      <c r="C57" s="25" t="s">
        <v>94</v>
      </c>
      <c r="E57" s="5">
        <v>12898.513659999997</v>
      </c>
      <c r="F57" s="3">
        <f>SUM($E$54:$E$57)</f>
        <v>40246.77945999999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95</v>
      </c>
      <c r="B59" s="25"/>
      <c r="C59" s="25"/>
      <c r="E59" s="1"/>
      <c r="F59" s="1"/>
    </row>
    <row r="60" spans="1:6" ht="12.75">
      <c r="A60" s="25"/>
      <c r="B60" s="25"/>
      <c r="C60" s="25" t="s">
        <v>13</v>
      </c>
      <c r="F60" s="3">
        <v>0</v>
      </c>
    </row>
    <row r="61" spans="1:6" ht="12.75">
      <c r="A61" s="25"/>
      <c r="B61" s="25"/>
      <c r="C61" s="25" t="s">
        <v>14</v>
      </c>
      <c r="F61" s="3">
        <f>$F$36</f>
        <v>0</v>
      </c>
    </row>
    <row r="62" spans="1:6" ht="12.75">
      <c r="A62" s="25"/>
      <c r="B62" s="25"/>
      <c r="C62" s="25" t="s">
        <v>139</v>
      </c>
      <c r="F62" s="3">
        <v>0</v>
      </c>
    </row>
    <row r="63" spans="1:6" ht="12.75">
      <c r="A63" s="25"/>
      <c r="B63" s="25"/>
      <c r="C63" s="25" t="s">
        <v>15</v>
      </c>
      <c r="E63" s="5">
        <v>0</v>
      </c>
      <c r="F63" s="1"/>
    </row>
    <row r="64" spans="1:6" ht="13.5" thickBot="1">
      <c r="A64" s="25"/>
      <c r="B64" s="25"/>
      <c r="C64" s="25" t="s">
        <v>96</v>
      </c>
      <c r="E64" s="5">
        <v>0</v>
      </c>
      <c r="F64" s="55">
        <f>$E$64+$E$63</f>
        <v>0</v>
      </c>
    </row>
    <row r="65" spans="1:6" ht="13.5" thickBot="1">
      <c r="A65" s="25"/>
      <c r="B65" s="25"/>
      <c r="C65" s="25" t="s">
        <v>16</v>
      </c>
      <c r="F65" s="55">
        <f>$F$60+$F$61+$F$62-$F$64</f>
        <v>0</v>
      </c>
    </row>
    <row r="66" spans="1:6" ht="12.75">
      <c r="A66" s="25"/>
      <c r="B66" s="25"/>
      <c r="C66" s="25"/>
      <c r="F66" s="1"/>
    </row>
    <row r="67" spans="1:6" ht="12.75">
      <c r="A67" s="48" t="s">
        <v>97</v>
      </c>
      <c r="B67" s="25"/>
      <c r="C67" s="25"/>
      <c r="F67" s="1"/>
    </row>
    <row r="68" spans="1:6" ht="12.75">
      <c r="A68" s="25"/>
      <c r="B68" s="25"/>
      <c r="C68" s="25" t="s">
        <v>13</v>
      </c>
      <c r="E68" s="26"/>
      <c r="F68" s="3">
        <v>5377</v>
      </c>
    </row>
    <row r="69" spans="1:6" ht="12.75">
      <c r="A69" s="25"/>
      <c r="B69" s="25"/>
      <c r="C69" s="25" t="s">
        <v>54</v>
      </c>
      <c r="E69" s="5">
        <v>38.027</v>
      </c>
      <c r="F69" s="58"/>
    </row>
    <row r="70" spans="1:6" ht="12.75">
      <c r="A70" s="25"/>
      <c r="B70" s="25"/>
      <c r="C70" s="25" t="s">
        <v>98</v>
      </c>
      <c r="E70" s="5">
        <v>67.217</v>
      </c>
      <c r="F70" s="3">
        <f>$E$69+$E$70</f>
        <v>105.244</v>
      </c>
    </row>
    <row r="71" spans="1:6" ht="12.75">
      <c r="A71" s="25"/>
      <c r="B71" s="25"/>
      <c r="C71" s="25" t="s">
        <v>55</v>
      </c>
      <c r="E71" s="5">
        <v>0</v>
      </c>
      <c r="F71" s="60"/>
    </row>
    <row r="72" spans="1:6" ht="13.5" thickBot="1">
      <c r="A72" s="49"/>
      <c r="B72" s="49"/>
      <c r="C72" s="25" t="s">
        <v>99</v>
      </c>
      <c r="E72" s="5">
        <v>5482</v>
      </c>
      <c r="F72" s="55">
        <f>$E$72+$E$71</f>
        <v>5482</v>
      </c>
    </row>
    <row r="73" spans="1:6" ht="13.5" thickBot="1">
      <c r="A73" s="49"/>
      <c r="B73" s="49"/>
      <c r="C73" s="25" t="s">
        <v>16</v>
      </c>
      <c r="E73" s="26"/>
      <c r="F73" s="55">
        <f>$F$68+$F$70-$F$72</f>
        <v>0.24399999999968713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100</v>
      </c>
      <c r="B75" s="49"/>
      <c r="C75" s="25"/>
      <c r="E75" s="60"/>
      <c r="F75" s="61"/>
    </row>
    <row r="76" spans="1:7" ht="13.5" thickBot="1">
      <c r="A76" s="25"/>
      <c r="B76" s="25" t="s">
        <v>17</v>
      </c>
      <c r="C76" s="25" t="s">
        <v>101</v>
      </c>
      <c r="D76" s="26"/>
      <c r="E76" s="55">
        <f>$E$16-$E$17</f>
        <v>1274</v>
      </c>
      <c r="F76" s="55">
        <f>$F$18</f>
        <v>998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12.75">
      <c r="A78" s="25"/>
      <c r="B78" s="25" t="s">
        <v>20</v>
      </c>
      <c r="C78" s="25" t="s">
        <v>102</v>
      </c>
      <c r="D78" s="26"/>
      <c r="E78" s="58" t="s">
        <v>18</v>
      </c>
      <c r="F78" s="58" t="s">
        <v>19</v>
      </c>
      <c r="G78" s="26"/>
    </row>
    <row r="79" spans="1:7" ht="12.75">
      <c r="A79" s="25"/>
      <c r="B79" s="25"/>
      <c r="C79" s="25" t="s">
        <v>21</v>
      </c>
      <c r="D79" s="26"/>
      <c r="E79" s="3">
        <v>141712</v>
      </c>
      <c r="F79" s="3">
        <v>141225</v>
      </c>
      <c r="G79" s="26"/>
    </row>
    <row r="80" spans="1:7" ht="12.75">
      <c r="A80" s="25"/>
      <c r="B80" s="25"/>
      <c r="C80" s="25" t="s">
        <v>23</v>
      </c>
      <c r="D80" s="26"/>
      <c r="E80" s="3">
        <v>70132.96495</v>
      </c>
      <c r="F80" s="3">
        <v>69422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22</v>
      </c>
      <c r="C82" s="25" t="s">
        <v>103</v>
      </c>
      <c r="D82" s="59"/>
      <c r="E82" s="26"/>
      <c r="F82" s="59"/>
      <c r="G82" s="26"/>
    </row>
    <row r="83" spans="1:7" ht="13.5" thickBot="1">
      <c r="A83" s="25"/>
      <c r="B83" s="25"/>
      <c r="C83" s="25" t="s">
        <v>104</v>
      </c>
      <c r="D83" s="59"/>
      <c r="E83" s="61"/>
      <c r="F83" s="55">
        <f>$F$79-$E$79</f>
        <v>-487</v>
      </c>
      <c r="G83" s="61"/>
    </row>
    <row r="84" spans="1:7" ht="13.5" thickBot="1">
      <c r="A84" s="25"/>
      <c r="B84" s="25"/>
      <c r="C84" s="25" t="s">
        <v>105</v>
      </c>
      <c r="D84" s="26"/>
      <c r="E84" s="26"/>
      <c r="F84" s="55">
        <f>$F$80-$E$80</f>
        <v>-710.9649499999941</v>
      </c>
      <c r="G84" s="26"/>
    </row>
    <row r="85" spans="1:7" ht="13.5" thickBot="1">
      <c r="A85" s="25"/>
      <c r="B85" s="25"/>
      <c r="C85" s="25" t="s">
        <v>106</v>
      </c>
      <c r="D85" s="59"/>
      <c r="E85" s="26"/>
      <c r="F85" s="55">
        <f>$F$84-$F$83</f>
        <v>-223.96494999999413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24</v>
      </c>
      <c r="C87" s="25" t="s">
        <v>107</v>
      </c>
      <c r="D87" s="59"/>
      <c r="E87" s="57">
        <f>IF($E$79+$E$80&gt;0,E$76/(($E$79+$E$80)/2),0)</f>
        <v>0.012027663723805676</v>
      </c>
      <c r="F87" s="57">
        <f>IF($E$79+$E$80&gt;0,F$76/(($E$79+$E$80)/2),0)</f>
        <v>0.009421984612525953</v>
      </c>
      <c r="G87" s="61"/>
    </row>
    <row r="88" spans="1:7" ht="12.75">
      <c r="A88" s="25"/>
      <c r="B88" s="25" t="s">
        <v>25</v>
      </c>
      <c r="C88" s="25" t="s">
        <v>108</v>
      </c>
      <c r="D88" s="26"/>
      <c r="E88" s="57">
        <f>IF($F$79+$F$80&gt;0,(E$76+($F$80-$E$80)-($F$79-$E$79))/(($F$79+$F$80)/2),0)</f>
        <v>0.009969617891543728</v>
      </c>
      <c r="F88" s="57">
        <f>IF($F$79+$F$80&gt;0,(F$76+($F$80-$E$80)-($F$79-$E$79))/(($F$79+$F$80)/2),0)</f>
        <v>0.0073491200919073695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26</v>
      </c>
      <c r="C90" s="25" t="s">
        <v>109</v>
      </c>
      <c r="D90" s="26"/>
      <c r="E90" s="59"/>
      <c r="F90" s="26"/>
      <c r="G90" s="62"/>
    </row>
    <row r="91" spans="1:7" ht="12.75">
      <c r="A91" s="25"/>
      <c r="B91" s="25"/>
      <c r="C91" s="25" t="s">
        <v>110</v>
      </c>
      <c r="D91" s="26"/>
      <c r="E91" s="68"/>
      <c r="F91" s="67"/>
      <c r="G91" s="59"/>
    </row>
    <row r="92" spans="1:7" ht="12.75">
      <c r="A92" s="25"/>
      <c r="B92" s="25"/>
      <c r="C92" s="25" t="s">
        <v>111</v>
      </c>
      <c r="D92" s="26"/>
      <c r="E92" s="68"/>
      <c r="F92" s="67"/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35</v>
      </c>
      <c r="C94" s="25" t="s">
        <v>37</v>
      </c>
      <c r="D94" s="26"/>
      <c r="E94" s="64"/>
      <c r="F94" s="26"/>
      <c r="G94" s="65"/>
    </row>
    <row r="95" spans="1:7" ht="12.75">
      <c r="A95" s="25"/>
      <c r="B95" s="25"/>
      <c r="C95" s="25" t="s">
        <v>112</v>
      </c>
      <c r="D95" s="26"/>
      <c r="E95" s="26"/>
      <c r="F95" s="8">
        <v>0</v>
      </c>
      <c r="G95" s="26"/>
    </row>
    <row r="96" spans="1:7" ht="12.75">
      <c r="A96" s="25"/>
      <c r="B96" s="25"/>
      <c r="C96" s="25" t="s">
        <v>113</v>
      </c>
      <c r="D96" s="26"/>
      <c r="E96" s="26"/>
      <c r="F96" s="8">
        <v>24</v>
      </c>
      <c r="G96" s="26"/>
    </row>
    <row r="97" spans="1:7" ht="13.5" thickBot="1">
      <c r="A97" s="25"/>
      <c r="B97" s="25"/>
      <c r="C97" s="25" t="s">
        <v>114</v>
      </c>
      <c r="D97" s="26"/>
      <c r="E97" s="61"/>
      <c r="F97" s="69">
        <v>731</v>
      </c>
      <c r="G97" s="26"/>
    </row>
    <row r="98" spans="1:7" ht="13.5" thickBot="1">
      <c r="A98" s="25"/>
      <c r="B98" s="25"/>
      <c r="C98" s="25" t="s">
        <v>115</v>
      </c>
      <c r="D98" s="26"/>
      <c r="E98" s="61"/>
      <c r="F98" s="70">
        <f>SUM($F$95:$F$97)</f>
        <v>755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36</v>
      </c>
      <c r="C100" s="25" t="s">
        <v>43</v>
      </c>
    </row>
    <row r="101" spans="1:6" ht="12.75">
      <c r="A101" s="25"/>
      <c r="B101" s="25"/>
      <c r="C101" s="25" t="s">
        <v>116</v>
      </c>
      <c r="F101" s="3">
        <f>$E$18</f>
        <v>276</v>
      </c>
    </row>
    <row r="102" spans="1:6" ht="12.75">
      <c r="A102" s="25"/>
      <c r="B102" s="25"/>
      <c r="C102" s="25" t="s">
        <v>117</v>
      </c>
      <c r="F102" s="57">
        <f>IF($F$101&gt;0,$F$101/(($F$79+$F$80)/2),0)</f>
        <v>0.0026204977996363583</v>
      </c>
    </row>
    <row r="103" spans="1:5" ht="12.75">
      <c r="A103" s="25"/>
      <c r="B103" s="25"/>
      <c r="C103" s="25" t="s">
        <v>9</v>
      </c>
      <c r="E103" s="5">
        <v>1295.249</v>
      </c>
    </row>
    <row r="104" spans="1:6" ht="13.5" thickBot="1">
      <c r="A104" s="25"/>
      <c r="B104" s="25"/>
      <c r="C104" s="25" t="s">
        <v>118</v>
      </c>
      <c r="E104" s="5">
        <v>0</v>
      </c>
      <c r="F104" s="55">
        <f>$E$103-$E$104</f>
        <v>1295.249</v>
      </c>
    </row>
    <row r="105" spans="1:6" ht="12.75">
      <c r="A105" s="25"/>
      <c r="B105" s="25"/>
      <c r="C105" s="25" t="s">
        <v>119</v>
      </c>
      <c r="F105" s="3">
        <f>IF(F$98&gt;0,(1000*F$104)/F$98,0)</f>
        <v>1715.5615894039736</v>
      </c>
    </row>
    <row r="106" spans="1:6" ht="12.75">
      <c r="A106" s="25"/>
      <c r="B106" s="25"/>
      <c r="C106" s="25" t="s">
        <v>120</v>
      </c>
      <c r="F106" s="3">
        <f>IF($F$98&gt;0,$E$14*1000/$F$98,0)</f>
        <v>146.94384105960265</v>
      </c>
    </row>
    <row r="107" spans="1:3" ht="12.75">
      <c r="A107" s="25"/>
      <c r="B107" s="25"/>
      <c r="C107" s="25"/>
    </row>
    <row r="108" spans="1:3" ht="12.75">
      <c r="A108" s="48" t="s">
        <v>144</v>
      </c>
      <c r="B108" s="25"/>
      <c r="C108" s="25"/>
    </row>
    <row r="109" spans="1:7" ht="12.75">
      <c r="A109" s="25"/>
      <c r="B109" s="50" t="s">
        <v>56</v>
      </c>
      <c r="C109" s="25"/>
      <c r="D109" s="108" t="s">
        <v>142</v>
      </c>
      <c r="E109" s="108"/>
      <c r="F109" s="108" t="s">
        <v>143</v>
      </c>
      <c r="G109" s="108"/>
    </row>
    <row r="110" spans="1:6" ht="12.75">
      <c r="A110" s="25"/>
      <c r="B110" s="25"/>
      <c r="C110" s="25" t="s">
        <v>121</v>
      </c>
      <c r="D110" s="89">
        <v>998</v>
      </c>
      <c r="F110" s="89">
        <v>0</v>
      </c>
    </row>
    <row r="111" spans="1:6" ht="12.75">
      <c r="A111" s="25"/>
      <c r="B111" s="25"/>
      <c r="C111" s="25" t="s">
        <v>122</v>
      </c>
      <c r="D111" s="5">
        <v>1271.3645999999999</v>
      </c>
      <c r="F111" s="5">
        <v>0</v>
      </c>
    </row>
    <row r="112" spans="1:7" ht="12.75">
      <c r="A112" s="25"/>
      <c r="B112" s="25"/>
      <c r="C112" s="25" t="s">
        <v>123</v>
      </c>
      <c r="D112" s="5">
        <v>110.9426</v>
      </c>
      <c r="E112" s="3">
        <f>SUM($D$110:$D$112)</f>
        <v>2380.3071999999997</v>
      </c>
      <c r="F112" s="5">
        <v>0</v>
      </c>
      <c r="G112" s="3">
        <f>SUM($F$110:$F$112)</f>
        <v>0</v>
      </c>
    </row>
    <row r="113" spans="1:3" ht="12.75">
      <c r="A113" s="25"/>
      <c r="B113" s="50" t="s">
        <v>57</v>
      </c>
      <c r="C113" s="25"/>
    </row>
    <row r="114" spans="1:6" ht="12.75">
      <c r="A114" s="25"/>
      <c r="B114" s="25"/>
      <c r="C114" s="25" t="s">
        <v>124</v>
      </c>
      <c r="D114" s="5">
        <v>2700.547136942367</v>
      </c>
      <c r="F114" s="5">
        <v>0</v>
      </c>
    </row>
    <row r="115" spans="1:6" ht="12.75">
      <c r="A115" s="25"/>
      <c r="B115" s="25"/>
      <c r="C115" s="25" t="s">
        <v>125</v>
      </c>
      <c r="D115" s="5">
        <v>1145.1208999999997</v>
      </c>
      <c r="F115" s="5">
        <v>0</v>
      </c>
    </row>
    <row r="116" spans="1:7" ht="12.75">
      <c r="A116" s="25"/>
      <c r="B116" s="25"/>
      <c r="C116" s="25" t="s">
        <v>126</v>
      </c>
      <c r="D116" s="5">
        <v>1330</v>
      </c>
      <c r="E116" s="3">
        <f>SUM($D$114:$D$116)</f>
        <v>5175.668036942367</v>
      </c>
      <c r="F116" s="5">
        <v>0</v>
      </c>
      <c r="G116" s="3">
        <f>SUM($F$114:$F$116)</f>
        <v>0</v>
      </c>
    </row>
    <row r="117" spans="1:7" ht="14.25">
      <c r="A117" s="25"/>
      <c r="B117" s="51" t="s">
        <v>136</v>
      </c>
      <c r="C117" s="25"/>
      <c r="E117" s="3">
        <f>$E$112-$E$116</f>
        <v>-2795.360836942367</v>
      </c>
      <c r="G117" s="3">
        <f>$G$112-$G$116</f>
        <v>0</v>
      </c>
    </row>
    <row r="118" spans="1:3" ht="12.75">
      <c r="A118" s="25"/>
      <c r="B118" s="50" t="s">
        <v>127</v>
      </c>
      <c r="C118" s="25"/>
    </row>
    <row r="119" spans="1:6" ht="12.75">
      <c r="A119" s="25"/>
      <c r="B119" s="25"/>
      <c r="C119" s="25" t="s">
        <v>128</v>
      </c>
      <c r="D119" s="5">
        <v>0</v>
      </c>
      <c r="F119" s="5">
        <v>0</v>
      </c>
    </row>
    <row r="120" spans="1:6" ht="12.75">
      <c r="A120" s="25"/>
      <c r="B120" s="25"/>
      <c r="C120" s="25" t="s">
        <v>129</v>
      </c>
      <c r="D120" s="5">
        <v>0</v>
      </c>
      <c r="F120" s="5">
        <v>0</v>
      </c>
    </row>
    <row r="121" spans="1:6" ht="12.75">
      <c r="A121" s="25"/>
      <c r="B121" s="25"/>
      <c r="C121" s="25" t="s">
        <v>130</v>
      </c>
      <c r="D121" s="5">
        <v>0</v>
      </c>
      <c r="F121" s="5">
        <v>0</v>
      </c>
    </row>
    <row r="122" spans="1:6" ht="12.75">
      <c r="A122" s="25"/>
      <c r="B122" s="25"/>
      <c r="C122" s="25" t="s">
        <v>131</v>
      </c>
      <c r="D122" s="5">
        <v>0</v>
      </c>
      <c r="F122" s="5">
        <v>0</v>
      </c>
    </row>
    <row r="123" spans="1:6" ht="12.75">
      <c r="A123" s="25"/>
      <c r="B123" s="25"/>
      <c r="C123" s="25" t="s">
        <v>132</v>
      </c>
      <c r="D123" s="5">
        <v>880</v>
      </c>
      <c r="F123" s="5">
        <v>0</v>
      </c>
    </row>
    <row r="124" spans="1:6" ht="12.75">
      <c r="A124" s="25"/>
      <c r="B124" s="25"/>
      <c r="C124" s="25" t="s">
        <v>133</v>
      </c>
      <c r="D124" s="5">
        <v>0</v>
      </c>
      <c r="F124" s="5">
        <v>0</v>
      </c>
    </row>
    <row r="125" spans="1:6" ht="12.75">
      <c r="A125" s="25"/>
      <c r="B125" s="25"/>
      <c r="C125" s="25" t="s">
        <v>134</v>
      </c>
      <c r="D125" s="5">
        <v>2441</v>
      </c>
      <c r="F125" s="5">
        <v>0</v>
      </c>
    </row>
    <row r="126" spans="1:7" ht="12.75">
      <c r="A126" s="25"/>
      <c r="B126" s="25"/>
      <c r="C126" s="25" t="s">
        <v>135</v>
      </c>
      <c r="D126" s="5">
        <v>-5482</v>
      </c>
      <c r="E126" s="3">
        <f>SUM($D$119:$D$126)</f>
        <v>-2161</v>
      </c>
      <c r="F126" s="5">
        <v>0</v>
      </c>
      <c r="G126" s="3">
        <f>SUM($F$119:$F$126)</f>
        <v>0</v>
      </c>
    </row>
    <row r="127" spans="1:5" ht="12.75">
      <c r="A127" s="25"/>
      <c r="B127" s="25" t="s">
        <v>58</v>
      </c>
      <c r="C127" s="25"/>
      <c r="E127" s="3">
        <v>0</v>
      </c>
    </row>
    <row r="128" spans="1:7" ht="13.5" thickBot="1">
      <c r="A128" s="25"/>
      <c r="B128" s="25" t="s">
        <v>59</v>
      </c>
      <c r="C128" s="25"/>
      <c r="E128" s="54">
        <v>0</v>
      </c>
      <c r="G128" s="55">
        <v>0</v>
      </c>
    </row>
    <row r="129" spans="1:7" ht="13.5" thickBot="1">
      <c r="A129" s="25"/>
      <c r="B129" s="25" t="s">
        <v>12</v>
      </c>
      <c r="C129" s="25"/>
      <c r="E129" s="55">
        <f>$E$117-SUM($E$126:$E$128)</f>
        <v>-634.3608369423669</v>
      </c>
      <c r="G129" s="55">
        <f>$G$117-$G$126-$G$128</f>
        <v>0</v>
      </c>
    </row>
    <row r="130" spans="1:7" ht="12.75">
      <c r="A130" s="25"/>
      <c r="B130" s="25" t="s">
        <v>64</v>
      </c>
      <c r="C130" s="25"/>
      <c r="E130" s="57">
        <f>IF(E$112&gt;0,MIN(MAX((E$116+E$126+E$127+E$128)/E$112,0.9),1),0)</f>
        <v>1</v>
      </c>
      <c r="G130" s="57">
        <f>IF(G$112&gt;0,MIN((G$116+G$126+G$127+G$128)/G$112,1),0)</f>
        <v>0</v>
      </c>
    </row>
    <row r="131" spans="1:3" ht="12.75">
      <c r="A131" s="25"/>
      <c r="C131" s="25"/>
    </row>
    <row r="132" spans="1:6" ht="12.75">
      <c r="A132" s="25"/>
      <c r="B132" s="50" t="s">
        <v>60</v>
      </c>
      <c r="C132" s="25"/>
      <c r="F132" t="s">
        <v>141</v>
      </c>
    </row>
    <row r="133" spans="1:6" ht="12.75">
      <c r="A133" s="25"/>
      <c r="B133" s="25"/>
      <c r="C133" s="25" t="s">
        <v>61</v>
      </c>
      <c r="E133" s="3">
        <f>$E$129</f>
        <v>-634.3608369423669</v>
      </c>
      <c r="F133" s="57">
        <f>IF($E$112&gt;0,$E$133/$E$112,0)</f>
        <v>-0.2665037676407343</v>
      </c>
    </row>
    <row r="134" spans="1:6" ht="12.75">
      <c r="A134" s="25"/>
      <c r="B134" s="25"/>
      <c r="C134" s="25" t="s">
        <v>62</v>
      </c>
      <c r="E134" s="3">
        <f>$G$129</f>
        <v>0</v>
      </c>
      <c r="F134" s="57">
        <f>IF($G$112&gt;0,$E$134/$G$112,0)</f>
        <v>0</v>
      </c>
    </row>
    <row r="135" spans="2:5" ht="12.75">
      <c r="B135" s="25"/>
      <c r="C135" s="25" t="s">
        <v>87</v>
      </c>
      <c r="E135" s="3">
        <f>SUM(E133:$E$134)</f>
        <v>-634.3608369423669</v>
      </c>
    </row>
    <row r="137" spans="2:3" ht="12.75">
      <c r="B137" s="53" t="s">
        <v>137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43" right="0.16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>
    <tabColor indexed="1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47" t="s">
        <v>69</v>
      </c>
      <c r="B1" s="47"/>
      <c r="C1" s="25"/>
    </row>
    <row r="2" spans="1:3" ht="12.75">
      <c r="A2" s="25" t="s">
        <v>0</v>
      </c>
      <c r="B2" s="25"/>
      <c r="C2" s="25"/>
    </row>
    <row r="3" spans="1:3" ht="12.75">
      <c r="A3" s="48" t="s">
        <v>66</v>
      </c>
      <c r="B3" s="48"/>
      <c r="C3" s="25"/>
    </row>
    <row r="4" spans="1:3" ht="12.75">
      <c r="A4" s="25"/>
      <c r="B4" s="25"/>
      <c r="C4" s="25"/>
    </row>
    <row r="5" spans="1:3" ht="12.75">
      <c r="A5" s="25" t="s">
        <v>38</v>
      </c>
      <c r="B5" s="25"/>
      <c r="C5" s="25"/>
    </row>
    <row r="6" spans="1:3" ht="12.75">
      <c r="A6" s="25"/>
      <c r="B6" s="25"/>
      <c r="C6" s="25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</v>
      </c>
      <c r="F8" s="2" t="s">
        <v>2</v>
      </c>
      <c r="G8" s="2"/>
    </row>
    <row r="9" spans="1:3" ht="12.75">
      <c r="A9" s="48" t="s">
        <v>70</v>
      </c>
      <c r="B9" s="48"/>
      <c r="C9" s="25"/>
    </row>
    <row r="10" spans="1:6" ht="12.75">
      <c r="A10" s="48" t="s">
        <v>71</v>
      </c>
      <c r="B10" s="25"/>
      <c r="C10" s="25"/>
      <c r="E10" s="1"/>
      <c r="F10" s="1"/>
    </row>
    <row r="11" spans="1:3" ht="12.75">
      <c r="A11" s="25"/>
      <c r="B11" s="50" t="s">
        <v>75</v>
      </c>
      <c r="C11" s="25"/>
    </row>
    <row r="12" spans="1:6" ht="12.75">
      <c r="A12" s="25"/>
      <c r="B12" s="25"/>
      <c r="C12" s="25" t="s">
        <v>3</v>
      </c>
      <c r="E12" s="5">
        <f>$F$14-E$13-E$14</f>
        <v>588870.5231300001</v>
      </c>
      <c r="F12" s="1"/>
    </row>
    <row r="13" spans="1:6" ht="12.75">
      <c r="A13" s="25"/>
      <c r="B13" s="25"/>
      <c r="C13" s="25" t="s">
        <v>4</v>
      </c>
      <c r="E13" s="5">
        <v>330988.50983</v>
      </c>
      <c r="F13" s="1"/>
    </row>
    <row r="14" spans="1:6" ht="12.75">
      <c r="A14" s="25"/>
      <c r="B14" s="25"/>
      <c r="C14" s="25" t="s">
        <v>5</v>
      </c>
      <c r="E14" s="5">
        <v>87302.99083999998</v>
      </c>
      <c r="F14" s="3">
        <v>1007162.0238000001</v>
      </c>
    </row>
    <row r="15" spans="1:6" ht="12.75">
      <c r="A15" s="25"/>
      <c r="B15" s="50" t="s">
        <v>72</v>
      </c>
      <c r="C15" s="25"/>
      <c r="E15" s="1"/>
      <c r="F15" s="1"/>
    </row>
    <row r="16" spans="1:6" ht="12.75">
      <c r="A16" s="25"/>
      <c r="B16" s="25"/>
      <c r="C16" s="25" t="s">
        <v>72</v>
      </c>
      <c r="E16" s="5">
        <v>352700.2408700001</v>
      </c>
      <c r="F16" s="1"/>
    </row>
    <row r="17" spans="1:6" ht="12.75">
      <c r="A17" s="25"/>
      <c r="B17" s="25"/>
      <c r="C17" s="25" t="s">
        <v>73</v>
      </c>
      <c r="E17" s="5">
        <v>4153.91611</v>
      </c>
      <c r="F17" s="1"/>
    </row>
    <row r="18" spans="1:6" ht="12.75">
      <c r="A18" s="25"/>
      <c r="B18" s="25"/>
      <c r="C18" s="25" t="s">
        <v>74</v>
      </c>
      <c r="E18" s="5">
        <v>6305.11536</v>
      </c>
      <c r="F18" s="3">
        <f>$E$16-$E$17-$E$18</f>
        <v>342241.2094000001</v>
      </c>
    </row>
    <row r="19" spans="1:6" ht="12.75">
      <c r="A19" s="25"/>
      <c r="B19" s="25" t="s">
        <v>76</v>
      </c>
      <c r="C19" s="25"/>
      <c r="F19" s="3">
        <v>1743.7717</v>
      </c>
    </row>
    <row r="20" spans="1:6" ht="13.5" thickBot="1">
      <c r="A20" s="25"/>
      <c r="B20" s="25" t="s">
        <v>77</v>
      </c>
      <c r="C20" s="25"/>
      <c r="E20" s="6"/>
      <c r="F20" s="54">
        <v>-10421.24313</v>
      </c>
    </row>
    <row r="21" spans="1:6" ht="13.5" thickBot="1">
      <c r="A21" s="25"/>
      <c r="B21" s="47" t="s">
        <v>78</v>
      </c>
      <c r="C21" s="25"/>
      <c r="E21" s="6"/>
      <c r="F21" s="55">
        <f>$F$14+$F$18+$F$19+$F$20</f>
        <v>1340725.76177</v>
      </c>
    </row>
    <row r="22" spans="1:5" ht="12.75">
      <c r="A22" s="25"/>
      <c r="B22" s="25"/>
      <c r="C22" s="25"/>
      <c r="E22" s="6"/>
    </row>
    <row r="23" spans="1:6" ht="12.75">
      <c r="A23" s="48" t="s">
        <v>79</v>
      </c>
      <c r="B23" s="25"/>
      <c r="C23" s="25"/>
      <c r="E23" s="6"/>
      <c r="F23" s="1"/>
    </row>
    <row r="24" spans="1:6" ht="12.75">
      <c r="A24" s="25"/>
      <c r="B24" s="50" t="s">
        <v>6</v>
      </c>
      <c r="C24" s="25"/>
      <c r="E24" s="6"/>
      <c r="F24" s="1"/>
    </row>
    <row r="25" spans="1:6" ht="12.75">
      <c r="A25" s="25"/>
      <c r="B25" s="25"/>
      <c r="C25" s="25" t="s">
        <v>7</v>
      </c>
      <c r="E25" s="5">
        <v>454232.79523</v>
      </c>
      <c r="F25" s="1"/>
    </row>
    <row r="26" spans="1:6" ht="12.75">
      <c r="A26" s="25"/>
      <c r="B26" s="25"/>
      <c r="C26" s="25" t="s">
        <v>8</v>
      </c>
      <c r="E26" s="5">
        <v>0</v>
      </c>
      <c r="F26" s="1"/>
    </row>
    <row r="27" spans="1:6" ht="12.75">
      <c r="A27" s="25"/>
      <c r="B27" s="25"/>
      <c r="C27" s="25" t="s">
        <v>80</v>
      </c>
      <c r="E27" s="5">
        <v>3482034.8224</v>
      </c>
      <c r="F27" s="3">
        <f>SUM($E$25:$E$27)</f>
        <v>3936267.6176299998</v>
      </c>
    </row>
    <row r="28" spans="1:5" ht="12.75">
      <c r="A28" s="25"/>
      <c r="B28" s="50" t="s">
        <v>81</v>
      </c>
      <c r="C28" s="25"/>
      <c r="E28" s="1"/>
    </row>
    <row r="29" spans="1:6" ht="12.75">
      <c r="A29" s="25"/>
      <c r="B29" s="25"/>
      <c r="C29" s="25" t="s">
        <v>82</v>
      </c>
      <c r="E29" s="5">
        <v>-2888230.1946748057</v>
      </c>
      <c r="F29" s="1"/>
    </row>
    <row r="30" spans="1:6" ht="12.75">
      <c r="A30" s="25"/>
      <c r="B30" s="25"/>
      <c r="C30" s="25" t="s">
        <v>83</v>
      </c>
      <c r="E30" s="5">
        <v>-121528.10442849249</v>
      </c>
      <c r="F30" s="1"/>
    </row>
    <row r="31" spans="1:6" ht="12.75">
      <c r="A31" s="25"/>
      <c r="B31" s="25"/>
      <c r="C31" s="25" t="s">
        <v>84</v>
      </c>
      <c r="D31" s="1"/>
      <c r="E31" s="5">
        <v>-33315.261</v>
      </c>
      <c r="F31" s="1"/>
    </row>
    <row r="32" spans="1:6" ht="12.75">
      <c r="A32" s="25"/>
      <c r="B32" s="25"/>
      <c r="C32" s="25" t="s">
        <v>85</v>
      </c>
      <c r="D32" s="1"/>
      <c r="E32" s="5">
        <f>$F$32-SUM($E$29:$E$31)</f>
        <v>-10290.286916702054</v>
      </c>
      <c r="F32" s="3">
        <v>-3053363.84702</v>
      </c>
    </row>
    <row r="33" spans="1:6" ht="12.75">
      <c r="A33" s="25"/>
      <c r="B33" s="50" t="s">
        <v>9</v>
      </c>
      <c r="C33" s="25"/>
      <c r="D33" s="1"/>
      <c r="E33" s="1"/>
      <c r="F33" s="3">
        <v>161456.11403</v>
      </c>
    </row>
    <row r="34" spans="1:6" ht="12.75">
      <c r="A34" s="25"/>
      <c r="B34" s="25" t="s">
        <v>86</v>
      </c>
      <c r="C34" s="25"/>
      <c r="E34" s="1"/>
      <c r="F34" s="3">
        <v>19242.79806</v>
      </c>
    </row>
    <row r="35" spans="1:6" ht="12.75">
      <c r="A35" s="25"/>
      <c r="B35" s="25" t="s">
        <v>10</v>
      </c>
      <c r="C35" s="25"/>
      <c r="E35" s="1"/>
      <c r="F35" s="3">
        <v>0</v>
      </c>
    </row>
    <row r="36" spans="1:6" ht="12.75">
      <c r="A36" s="25"/>
      <c r="B36" s="25" t="s">
        <v>11</v>
      </c>
      <c r="C36" s="25"/>
      <c r="F36" s="3">
        <v>181184</v>
      </c>
    </row>
    <row r="37" spans="1:6" ht="13.5" thickBot="1">
      <c r="A37" s="25"/>
      <c r="B37" s="25" t="s">
        <v>87</v>
      </c>
      <c r="C37" s="25"/>
      <c r="F37" s="54">
        <f>$F$38-($F$27+SUM($F$32:$F$36))</f>
        <v>95939.07907000068</v>
      </c>
    </row>
    <row r="38" spans="1:6" ht="13.5" thickBot="1">
      <c r="A38" s="25"/>
      <c r="B38" s="25" t="s">
        <v>88</v>
      </c>
      <c r="C38" s="25"/>
      <c r="F38" s="55">
        <f>$F$14+$F$18+$F$19+$F$20</f>
        <v>1340725.76177</v>
      </c>
    </row>
    <row r="39" spans="1:3" ht="12.75">
      <c r="A39" s="25"/>
      <c r="B39" s="25"/>
      <c r="C39" s="25"/>
    </row>
    <row r="40" spans="1:6" ht="12.75">
      <c r="A40" s="48" t="s">
        <v>89</v>
      </c>
      <c r="B40" s="25"/>
      <c r="C40" s="25"/>
      <c r="E40" s="1"/>
      <c r="F40" s="1"/>
    </row>
    <row r="41" spans="1:6" ht="12.75">
      <c r="A41" s="48" t="s">
        <v>90</v>
      </c>
      <c r="B41" s="25"/>
      <c r="C41" s="25"/>
      <c r="E41" s="1"/>
      <c r="F41" s="1"/>
    </row>
    <row r="42" spans="1:6" ht="12.75">
      <c r="A42" s="25"/>
      <c r="B42" s="50" t="s">
        <v>91</v>
      </c>
      <c r="C42" s="25"/>
      <c r="F42" s="1"/>
    </row>
    <row r="43" spans="1:7" ht="12.75">
      <c r="A43" s="25"/>
      <c r="B43" s="25"/>
      <c r="C43" s="25" t="s">
        <v>27</v>
      </c>
      <c r="E43" s="5">
        <v>100107.74175</v>
      </c>
      <c r="F43" s="56" t="s">
        <v>138</v>
      </c>
      <c r="G43" s="57">
        <f>IF(E43&gt;0,E43/$F$50,0)</f>
        <v>0.014564428255398186</v>
      </c>
    </row>
    <row r="44" spans="1:7" ht="12.75">
      <c r="A44" s="25"/>
      <c r="B44" s="25"/>
      <c r="C44" s="25" t="s">
        <v>28</v>
      </c>
      <c r="E44" s="5">
        <v>4753509</v>
      </c>
      <c r="F44" s="56" t="s">
        <v>138</v>
      </c>
      <c r="G44" s="57">
        <f aca="true" t="shared" si="0" ref="G44:G50">IF(E44&gt;0,E44/$F$50,0)</f>
        <v>0.6915762915198271</v>
      </c>
    </row>
    <row r="45" spans="1:7" ht="12.75">
      <c r="A45" s="25"/>
      <c r="B45" s="25"/>
      <c r="C45" s="25" t="s">
        <v>29</v>
      </c>
      <c r="E45" s="5">
        <v>1105678.09925</v>
      </c>
      <c r="F45" s="56" t="s">
        <v>138</v>
      </c>
      <c r="G45" s="57">
        <f t="shared" si="0"/>
        <v>0.16086237756024158</v>
      </c>
    </row>
    <row r="46" spans="1:7" ht="12.75">
      <c r="A46" s="25"/>
      <c r="B46" s="25"/>
      <c r="C46" s="25" t="s">
        <v>30</v>
      </c>
      <c r="E46" s="5">
        <v>783277</v>
      </c>
      <c r="F46" s="56" t="s">
        <v>138</v>
      </c>
      <c r="G46" s="57">
        <f t="shared" si="0"/>
        <v>0.11395703739969266</v>
      </c>
    </row>
    <row r="47" spans="1:7" ht="12.75">
      <c r="A47" s="25"/>
      <c r="B47" s="25"/>
      <c r="C47" s="25" t="s">
        <v>31</v>
      </c>
      <c r="E47" s="5">
        <v>0</v>
      </c>
      <c r="F47" s="56" t="s">
        <v>138</v>
      </c>
      <c r="G47" s="57">
        <f t="shared" si="0"/>
        <v>0</v>
      </c>
    </row>
    <row r="48" spans="1:7" ht="12.75">
      <c r="A48" s="25"/>
      <c r="B48" s="25"/>
      <c r="C48" s="25" t="s">
        <v>32</v>
      </c>
      <c r="E48" s="5">
        <v>99408</v>
      </c>
      <c r="F48" s="56" t="s">
        <v>138</v>
      </c>
      <c r="G48" s="57">
        <f t="shared" si="0"/>
        <v>0.014462624555334381</v>
      </c>
    </row>
    <row r="49" spans="1:7" ht="12.75">
      <c r="A49" s="25"/>
      <c r="B49" s="25"/>
      <c r="C49" s="25" t="s">
        <v>33</v>
      </c>
      <c r="E49" s="5">
        <v>0</v>
      </c>
      <c r="F49" s="56" t="s">
        <v>138</v>
      </c>
      <c r="G49" s="57">
        <f t="shared" si="0"/>
        <v>0</v>
      </c>
    </row>
    <row r="50" spans="1:7" ht="13.5" thickBot="1">
      <c r="A50" s="25"/>
      <c r="B50" s="25"/>
      <c r="C50" s="25" t="s">
        <v>34</v>
      </c>
      <c r="E50" s="5">
        <v>31461.39504</v>
      </c>
      <c r="F50" s="55">
        <f>SUM($E$43:$E$50)</f>
        <v>6873441.23604</v>
      </c>
      <c r="G50" s="57">
        <f t="shared" si="0"/>
        <v>0.004577240709506069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92</v>
      </c>
      <c r="B52" s="25"/>
      <c r="C52" s="25"/>
      <c r="E52" s="6"/>
      <c r="F52" s="6"/>
    </row>
    <row r="53" spans="1:3" ht="12.75">
      <c r="A53" s="25"/>
      <c r="B53" s="50" t="s">
        <v>93</v>
      </c>
      <c r="C53" s="25"/>
    </row>
    <row r="54" spans="1:5" ht="12.75">
      <c r="A54" s="25"/>
      <c r="B54" s="25"/>
      <c r="C54" s="25" t="s">
        <v>82</v>
      </c>
      <c r="E54" s="5">
        <v>2049024.8053251943</v>
      </c>
    </row>
    <row r="55" spans="1:5" ht="12.75">
      <c r="A55" s="25"/>
      <c r="B55" s="25"/>
      <c r="C55" s="25" t="s">
        <v>83</v>
      </c>
      <c r="E55" s="5">
        <v>3165336.8955715075</v>
      </c>
    </row>
    <row r="56" spans="1:5" ht="12.75">
      <c r="A56" s="25"/>
      <c r="B56" s="25"/>
      <c r="C56" s="25" t="s">
        <v>84</v>
      </c>
      <c r="E56" s="5">
        <v>357912.739</v>
      </c>
    </row>
    <row r="57" spans="1:6" ht="12.75">
      <c r="A57" s="25"/>
      <c r="B57" s="25"/>
      <c r="C57" s="25" t="s">
        <v>94</v>
      </c>
      <c r="E57" s="5">
        <v>760454.4620283166</v>
      </c>
      <c r="F57" s="3">
        <f>SUM($E$54:$E$57)</f>
        <v>6332728.901925018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95</v>
      </c>
      <c r="B59" s="25"/>
      <c r="C59" s="25"/>
      <c r="E59" s="1"/>
      <c r="F59" s="1"/>
    </row>
    <row r="60" spans="1:6" ht="12.75">
      <c r="A60" s="25"/>
      <c r="B60" s="25"/>
      <c r="C60" s="25" t="s">
        <v>13</v>
      </c>
      <c r="F60" s="3">
        <v>93746</v>
      </c>
    </row>
    <row r="61" spans="1:6" ht="12.75">
      <c r="A61" s="25"/>
      <c r="B61" s="25"/>
      <c r="C61" s="25" t="s">
        <v>14</v>
      </c>
      <c r="F61" s="3">
        <f>$F$36</f>
        <v>181184</v>
      </c>
    </row>
    <row r="62" spans="1:6" ht="12.75">
      <c r="A62" s="25"/>
      <c r="B62" s="25"/>
      <c r="C62" s="25" t="s">
        <v>139</v>
      </c>
      <c r="F62" s="3">
        <v>0</v>
      </c>
    </row>
    <row r="63" spans="1:6" ht="12.75">
      <c r="A63" s="25"/>
      <c r="B63" s="25"/>
      <c r="C63" s="25" t="s">
        <v>15</v>
      </c>
      <c r="E63" s="5">
        <v>0</v>
      </c>
      <c r="F63" s="1"/>
    </row>
    <row r="64" spans="1:6" ht="13.5" thickBot="1">
      <c r="A64" s="25"/>
      <c r="B64" s="25"/>
      <c r="C64" s="25" t="s">
        <v>96</v>
      </c>
      <c r="E64" s="5">
        <v>92674.687</v>
      </c>
      <c r="F64" s="55">
        <f>$E$64+$E$63</f>
        <v>92674.687</v>
      </c>
    </row>
    <row r="65" spans="1:6" ht="13.5" thickBot="1">
      <c r="A65" s="25"/>
      <c r="B65" s="25"/>
      <c r="C65" s="25" t="s">
        <v>16</v>
      </c>
      <c r="F65" s="55">
        <f>$F$60+$F$61+$F$62-$F$64</f>
        <v>182255.313</v>
      </c>
    </row>
    <row r="66" spans="1:6" ht="12.75">
      <c r="A66" s="25"/>
      <c r="B66" s="25"/>
      <c r="C66" s="25"/>
      <c r="F66" s="1"/>
    </row>
    <row r="67" spans="1:6" ht="12.75">
      <c r="A67" s="48" t="s">
        <v>97</v>
      </c>
      <c r="B67" s="25"/>
      <c r="C67" s="25"/>
      <c r="F67" s="1"/>
    </row>
    <row r="68" spans="1:6" ht="12.75">
      <c r="A68" s="25"/>
      <c r="B68" s="25"/>
      <c r="C68" s="25" t="s">
        <v>13</v>
      </c>
      <c r="E68" s="26"/>
      <c r="F68" s="3">
        <v>344371.518</v>
      </c>
    </row>
    <row r="69" spans="1:6" ht="12.75">
      <c r="A69" s="25"/>
      <c r="B69" s="25"/>
      <c r="C69" s="25" t="s">
        <v>54</v>
      </c>
      <c r="E69" s="5">
        <v>8805.66605</v>
      </c>
      <c r="F69" s="58"/>
    </row>
    <row r="70" spans="1:6" ht="12.75">
      <c r="A70" s="25"/>
      <c r="B70" s="25"/>
      <c r="C70" s="25" t="s">
        <v>98</v>
      </c>
      <c r="E70" s="5">
        <v>3443.7235302790004</v>
      </c>
      <c r="F70" s="3">
        <f>$E$69+$E$70</f>
        <v>12249.389580279</v>
      </c>
    </row>
    <row r="71" spans="1:6" ht="12.75">
      <c r="A71" s="25"/>
      <c r="B71" s="25"/>
      <c r="C71" s="25" t="s">
        <v>55</v>
      </c>
      <c r="E71" s="5">
        <v>9703.097942099965</v>
      </c>
      <c r="F71" s="60"/>
    </row>
    <row r="72" spans="1:6" ht="13.5" thickBot="1">
      <c r="A72" s="49"/>
      <c r="B72" s="49"/>
      <c r="C72" s="25" t="s">
        <v>99</v>
      </c>
      <c r="E72" s="5">
        <v>0</v>
      </c>
      <c r="F72" s="55">
        <f>$E$72+$E$71</f>
        <v>9703.097942099965</v>
      </c>
    </row>
    <row r="73" spans="1:6" ht="13.5" thickBot="1">
      <c r="A73" s="49"/>
      <c r="B73" s="49"/>
      <c r="C73" s="25" t="s">
        <v>16</v>
      </c>
      <c r="E73" s="26"/>
      <c r="F73" s="55">
        <f>$F$68+$F$70-$F$72</f>
        <v>346917.809638179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100</v>
      </c>
      <c r="B75" s="49"/>
      <c r="C75" s="25"/>
      <c r="E75" s="60"/>
      <c r="F75" s="61"/>
    </row>
    <row r="76" spans="1:7" ht="13.5" thickBot="1">
      <c r="A76" s="25"/>
      <c r="B76" s="25" t="s">
        <v>17</v>
      </c>
      <c r="C76" s="25" t="s">
        <v>101</v>
      </c>
      <c r="D76" s="26"/>
      <c r="E76" s="55">
        <f>$E$16-$E$17</f>
        <v>348546.3247600001</v>
      </c>
      <c r="F76" s="55">
        <f>$F$18</f>
        <v>342241.2094000001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12.75">
      <c r="A78" s="25"/>
      <c r="B78" s="25" t="s">
        <v>20</v>
      </c>
      <c r="C78" s="25" t="s">
        <v>102</v>
      </c>
      <c r="D78" s="26"/>
      <c r="E78" s="58" t="s">
        <v>18</v>
      </c>
      <c r="F78" s="58" t="s">
        <v>19</v>
      </c>
      <c r="G78" s="26"/>
    </row>
    <row r="79" spans="1:7" ht="12.75">
      <c r="A79" s="25"/>
      <c r="B79" s="25"/>
      <c r="C79" s="25" t="s">
        <v>21</v>
      </c>
      <c r="D79" s="26"/>
      <c r="E79" s="3">
        <v>9075915</v>
      </c>
      <c r="F79" s="3">
        <v>9467520</v>
      </c>
      <c r="G79" s="26"/>
    </row>
    <row r="80" spans="1:7" ht="12.75">
      <c r="A80" s="25"/>
      <c r="B80" s="25"/>
      <c r="C80" s="25" t="s">
        <v>23</v>
      </c>
      <c r="D80" s="26"/>
      <c r="E80" s="3">
        <v>6873441.23604</v>
      </c>
      <c r="F80" s="3">
        <v>7006492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22</v>
      </c>
      <c r="C82" s="25" t="s">
        <v>103</v>
      </c>
      <c r="D82" s="59"/>
      <c r="E82" s="26"/>
      <c r="F82" s="59"/>
      <c r="G82" s="26"/>
    </row>
    <row r="83" spans="1:7" ht="13.5" thickBot="1">
      <c r="A83" s="25"/>
      <c r="B83" s="25"/>
      <c r="C83" s="25" t="s">
        <v>104</v>
      </c>
      <c r="D83" s="59"/>
      <c r="E83" s="61"/>
      <c r="F83" s="55">
        <f>$F$79-$E$79</f>
        <v>391605</v>
      </c>
      <c r="G83" s="61"/>
    </row>
    <row r="84" spans="1:7" ht="13.5" thickBot="1">
      <c r="A84" s="25"/>
      <c r="B84" s="25"/>
      <c r="C84" s="25" t="s">
        <v>105</v>
      </c>
      <c r="D84" s="26"/>
      <c r="E84" s="26"/>
      <c r="F84" s="55">
        <f>$F$80-$E$80</f>
        <v>133050.76396000013</v>
      </c>
      <c r="G84" s="26"/>
    </row>
    <row r="85" spans="1:7" ht="13.5" thickBot="1">
      <c r="A85" s="25"/>
      <c r="B85" s="25"/>
      <c r="C85" s="25" t="s">
        <v>106</v>
      </c>
      <c r="D85" s="59"/>
      <c r="E85" s="26"/>
      <c r="F85" s="55">
        <f>$F$84-$F$83</f>
        <v>-258554.23603999987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24</v>
      </c>
      <c r="C87" s="25" t="s">
        <v>107</v>
      </c>
      <c r="D87" s="59"/>
      <c r="E87" s="57">
        <f>IF($E$79+$E$80&gt;0,E$76/(($E$79+$E$80)/2),0)</f>
        <v>0.04370663236832175</v>
      </c>
      <c r="F87" s="57">
        <f>IF($E$79+$E$80&gt;0,F$76/(($E$79+$E$80)/2),0)</f>
        <v>0.04291599038043353</v>
      </c>
      <c r="G87" s="61"/>
    </row>
    <row r="88" spans="1:7" ht="12.75">
      <c r="A88" s="25"/>
      <c r="B88" s="25" t="s">
        <v>25</v>
      </c>
      <c r="C88" s="25" t="s">
        <v>108</v>
      </c>
      <c r="D88" s="26"/>
      <c r="E88" s="57">
        <f>IF($F$79+$F$80&gt;0,(E$76+($F$80-$E$80)-($F$79-$E$79))/(($F$79+$F$80)/2),0)</f>
        <v>0.010925339707170328</v>
      </c>
      <c r="F88" s="57">
        <f>IF($F$79+$F$80&gt;0,(F$76+($F$80-$E$80)-($F$79-$E$79))/(($F$79+$F$80)/2),0)</f>
        <v>0.010159877673999538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26</v>
      </c>
      <c r="C90" s="25" t="s">
        <v>109</v>
      </c>
      <c r="D90" s="26"/>
      <c r="E90" s="59"/>
      <c r="F90" s="26"/>
      <c r="G90" s="62"/>
    </row>
    <row r="91" spans="1:7" ht="12.75">
      <c r="A91" s="25"/>
      <c r="B91" s="25"/>
      <c r="C91" s="25" t="s">
        <v>110</v>
      </c>
      <c r="D91" s="26"/>
      <c r="E91" s="68"/>
      <c r="F91" s="67">
        <v>0.05835</v>
      </c>
      <c r="G91" s="59"/>
    </row>
    <row r="92" spans="1:7" ht="12.75">
      <c r="A92" s="25"/>
      <c r="B92" s="25"/>
      <c r="C92" s="25" t="s">
        <v>111</v>
      </c>
      <c r="D92" s="26"/>
      <c r="E92" s="68"/>
      <c r="F92" s="67">
        <v>0.05574</v>
      </c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35</v>
      </c>
      <c r="C94" s="25" t="s">
        <v>37</v>
      </c>
      <c r="D94" s="26"/>
      <c r="E94" s="64"/>
      <c r="F94" s="26"/>
      <c r="G94" s="65"/>
    </row>
    <row r="95" spans="1:7" ht="12.75">
      <c r="A95" s="25"/>
      <c r="B95" s="25"/>
      <c r="C95" s="25" t="s">
        <v>112</v>
      </c>
      <c r="D95" s="26"/>
      <c r="E95" s="26"/>
      <c r="F95" s="8">
        <v>170734</v>
      </c>
      <c r="G95" s="26"/>
    </row>
    <row r="96" spans="1:7" ht="12.75">
      <c r="A96" s="25"/>
      <c r="B96" s="25"/>
      <c r="C96" s="25" t="s">
        <v>113</v>
      </c>
      <c r="D96" s="26"/>
      <c r="E96" s="26"/>
      <c r="F96" s="8">
        <v>18135</v>
      </c>
      <c r="G96" s="26"/>
    </row>
    <row r="97" spans="1:7" ht="13.5" thickBot="1">
      <c r="A97" s="25"/>
      <c r="B97" s="25"/>
      <c r="C97" s="25" t="s">
        <v>114</v>
      </c>
      <c r="D97" s="26"/>
      <c r="E97" s="61"/>
      <c r="F97" s="69">
        <v>20247</v>
      </c>
      <c r="G97" s="26"/>
    </row>
    <row r="98" spans="1:7" ht="13.5" thickBot="1">
      <c r="A98" s="25"/>
      <c r="B98" s="25"/>
      <c r="C98" s="25" t="s">
        <v>115</v>
      </c>
      <c r="D98" s="26"/>
      <c r="E98" s="61"/>
      <c r="F98" s="70">
        <f>SUM($F$95:$F$97)</f>
        <v>209116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36</v>
      </c>
      <c r="C100" s="25" t="s">
        <v>43</v>
      </c>
    </row>
    <row r="101" spans="1:6" ht="12.75">
      <c r="A101" s="25"/>
      <c r="B101" s="25"/>
      <c r="C101" s="25" t="s">
        <v>116</v>
      </c>
      <c r="F101" s="3">
        <f>$E$18</f>
        <v>6305.11536</v>
      </c>
    </row>
    <row r="102" spans="1:6" ht="12.75">
      <c r="A102" s="25"/>
      <c r="B102" s="25"/>
      <c r="C102" s="25" t="s">
        <v>117</v>
      </c>
      <c r="F102" s="57">
        <f>IF($F$101&gt;0,$F$101/(($F$79+$F$80)/2),0)</f>
        <v>0.0007654620331707904</v>
      </c>
    </row>
    <row r="103" spans="1:5" ht="12.75">
      <c r="A103" s="25"/>
      <c r="B103" s="25"/>
      <c r="C103" s="25" t="s">
        <v>9</v>
      </c>
      <c r="E103" s="5">
        <v>161456.11403</v>
      </c>
    </row>
    <row r="104" spans="1:6" ht="13.5" thickBot="1">
      <c r="A104" s="25"/>
      <c r="B104" s="25"/>
      <c r="C104" s="25" t="s">
        <v>118</v>
      </c>
      <c r="E104" s="5">
        <v>0</v>
      </c>
      <c r="F104" s="55">
        <f>$E$103-$E$104</f>
        <v>161456.11403</v>
      </c>
    </row>
    <row r="105" spans="1:6" ht="12.75">
      <c r="A105" s="25"/>
      <c r="B105" s="25"/>
      <c r="C105" s="25" t="s">
        <v>119</v>
      </c>
      <c r="F105" s="3">
        <f>IF(F$98&gt;0,(1000*F$104)/F$98,0)</f>
        <v>772.0887642743741</v>
      </c>
    </row>
    <row r="106" spans="1:6" ht="12.75">
      <c r="A106" s="25"/>
      <c r="B106" s="25"/>
      <c r="C106" s="25" t="s">
        <v>120</v>
      </c>
      <c r="F106" s="3">
        <f>IF($F$98&gt;0,$E$14*1000/$F$98,0)</f>
        <v>417.4859448344459</v>
      </c>
    </row>
    <row r="107" spans="1:3" ht="12.75">
      <c r="A107" s="25"/>
      <c r="B107" s="25"/>
      <c r="C107" s="25"/>
    </row>
    <row r="108" spans="1:3" ht="12.75">
      <c r="A108" s="48" t="s">
        <v>144</v>
      </c>
      <c r="B108" s="25"/>
      <c r="C108" s="25"/>
    </row>
    <row r="109" spans="1:7" ht="12.75">
      <c r="A109" s="25"/>
      <c r="B109" s="50" t="s">
        <v>56</v>
      </c>
      <c r="C109" s="25"/>
      <c r="D109" s="108" t="s">
        <v>142</v>
      </c>
      <c r="E109" s="108"/>
      <c r="F109" s="108" t="s">
        <v>143</v>
      </c>
      <c r="G109" s="108"/>
    </row>
    <row r="110" spans="1:6" ht="12.75">
      <c r="A110" s="25"/>
      <c r="B110" s="25"/>
      <c r="C110" s="25" t="s">
        <v>121</v>
      </c>
      <c r="D110" s="89">
        <v>301713</v>
      </c>
      <c r="F110" s="89">
        <v>40527</v>
      </c>
    </row>
    <row r="111" spans="1:6" ht="12.75">
      <c r="A111" s="25"/>
      <c r="B111" s="25"/>
      <c r="C111" s="25" t="s">
        <v>122</v>
      </c>
      <c r="D111" s="5">
        <v>233334.5895485505</v>
      </c>
      <c r="F111" s="5">
        <v>97653.92028144952</v>
      </c>
    </row>
    <row r="112" spans="1:7" ht="12.75">
      <c r="A112" s="25"/>
      <c r="B112" s="25"/>
      <c r="C112" s="25" t="s">
        <v>123</v>
      </c>
      <c r="D112" s="5">
        <v>84383.12669267113</v>
      </c>
      <c r="E112" s="3">
        <f>SUM($D$110:$D$112)</f>
        <v>619430.7162412216</v>
      </c>
      <c r="F112" s="5">
        <v>2919.864147328865</v>
      </c>
      <c r="G112" s="3">
        <f>SUM($F$110:$F$112)</f>
        <v>141100.78442877837</v>
      </c>
    </row>
    <row r="113" spans="1:3" ht="12.75">
      <c r="A113" s="25"/>
      <c r="B113" s="50" t="s">
        <v>57</v>
      </c>
      <c r="C113" s="25"/>
    </row>
    <row r="114" spans="1:6" ht="12.75">
      <c r="A114" s="25"/>
      <c r="B114" s="25"/>
      <c r="C114" s="25" t="s">
        <v>124</v>
      </c>
      <c r="D114" s="5">
        <v>150162.6380952</v>
      </c>
      <c r="F114" s="5">
        <v>17019.065113800003</v>
      </c>
    </row>
    <row r="115" spans="1:6" ht="12.75">
      <c r="A115" s="25"/>
      <c r="B115" s="25"/>
      <c r="C115" s="25" t="s">
        <v>125</v>
      </c>
      <c r="D115" s="5">
        <v>151821.1812430205</v>
      </c>
      <c r="F115" s="5">
        <v>43539.212506979544</v>
      </c>
    </row>
    <row r="116" spans="1:7" ht="12.75">
      <c r="A116" s="25"/>
      <c r="B116" s="25"/>
      <c r="C116" s="25" t="s">
        <v>126</v>
      </c>
      <c r="D116" s="5">
        <v>164727</v>
      </c>
      <c r="E116" s="3">
        <f>SUM($D$114:$D$116)</f>
        <v>466710.8193382205</v>
      </c>
      <c r="F116" s="5">
        <v>6665</v>
      </c>
      <c r="G116" s="3">
        <f>SUM($F$114:$F$116)</f>
        <v>67223.27762077955</v>
      </c>
    </row>
    <row r="117" spans="1:7" ht="14.25">
      <c r="A117" s="25"/>
      <c r="B117" s="51" t="s">
        <v>136</v>
      </c>
      <c r="C117" s="25"/>
      <c r="E117" s="3">
        <f>$E$112-$E$116</f>
        <v>152719.89690300112</v>
      </c>
      <c r="G117" s="3">
        <f>$G$112-$G$116</f>
        <v>73877.50680799881</v>
      </c>
    </row>
    <row r="118" spans="1:3" ht="12.75">
      <c r="A118" s="25"/>
      <c r="B118" s="50" t="s">
        <v>127</v>
      </c>
      <c r="C118" s="25"/>
    </row>
    <row r="119" spans="1:6" ht="12.75">
      <c r="A119" s="25"/>
      <c r="B119" s="25"/>
      <c r="C119" s="25" t="s">
        <v>128</v>
      </c>
      <c r="D119" s="5">
        <v>-20865.693818516094</v>
      </c>
      <c r="F119" s="5">
        <v>154.91322423095255</v>
      </c>
    </row>
    <row r="120" spans="1:6" ht="12.75">
      <c r="A120" s="25"/>
      <c r="B120" s="25"/>
      <c r="C120" s="25" t="s">
        <v>129</v>
      </c>
      <c r="D120" s="5">
        <v>-20780.43248723539</v>
      </c>
      <c r="F120" s="5">
        <v>-606.8739256719921</v>
      </c>
    </row>
    <row r="121" spans="1:6" ht="12.75">
      <c r="A121" s="25"/>
      <c r="B121" s="25"/>
      <c r="C121" s="25" t="s">
        <v>130</v>
      </c>
      <c r="D121" s="5">
        <v>1493.3817644926644</v>
      </c>
      <c r="F121" s="5">
        <v>74.28400420734472</v>
      </c>
    </row>
    <row r="122" spans="1:6" ht="12.75">
      <c r="A122" s="25"/>
      <c r="B122" s="25"/>
      <c r="C122" s="25" t="s">
        <v>131</v>
      </c>
      <c r="D122" s="5">
        <v>-8980.797899215617</v>
      </c>
      <c r="F122" s="5">
        <v>-1014.2241272166817</v>
      </c>
    </row>
    <row r="123" spans="1:6" ht="12.75">
      <c r="A123" s="25"/>
      <c r="B123" s="25"/>
      <c r="C123" s="25" t="s">
        <v>132</v>
      </c>
      <c r="D123" s="5">
        <v>0</v>
      </c>
      <c r="F123" s="5">
        <v>0</v>
      </c>
    </row>
    <row r="124" spans="1:6" ht="12.75">
      <c r="A124" s="25"/>
      <c r="B124" s="25"/>
      <c r="C124" s="25" t="s">
        <v>133</v>
      </c>
      <c r="D124" s="5">
        <v>0</v>
      </c>
      <c r="F124" s="5">
        <v>0</v>
      </c>
    </row>
    <row r="125" spans="1:6" ht="12.75">
      <c r="A125" s="25"/>
      <c r="B125" s="25"/>
      <c r="C125" s="25" t="s">
        <v>134</v>
      </c>
      <c r="D125" s="5">
        <v>0</v>
      </c>
      <c r="F125" s="5">
        <v>0</v>
      </c>
    </row>
    <row r="126" spans="1:7" ht="12.75">
      <c r="A126" s="25"/>
      <c r="B126" s="25"/>
      <c r="C126" s="25" t="s">
        <v>135</v>
      </c>
      <c r="D126" s="5">
        <v>0</v>
      </c>
      <c r="E126" s="3">
        <f>SUM($D$119:$D$126)</f>
        <v>-49133.54244047444</v>
      </c>
      <c r="F126" s="5">
        <v>0</v>
      </c>
      <c r="G126" s="3">
        <f>SUM($F$119:$F$126)</f>
        <v>-1391.9008244503766</v>
      </c>
    </row>
    <row r="127" spans="1:5" ht="12.75">
      <c r="A127" s="25"/>
      <c r="B127" s="25" t="s">
        <v>58</v>
      </c>
      <c r="C127" s="25"/>
      <c r="E127" s="3">
        <v>0</v>
      </c>
    </row>
    <row r="128" spans="1:7" ht="13.5" thickBot="1">
      <c r="A128" s="25"/>
      <c r="B128" s="25" t="s">
        <v>59</v>
      </c>
      <c r="C128" s="25"/>
      <c r="E128" s="54">
        <v>145815</v>
      </c>
      <c r="G128" s="55">
        <v>35369</v>
      </c>
    </row>
    <row r="129" spans="1:7" ht="13.5" thickBot="1">
      <c r="A129" s="25"/>
      <c r="B129" s="25" t="s">
        <v>12</v>
      </c>
      <c r="C129" s="25"/>
      <c r="E129" s="55">
        <f>$E$117-SUM($E$126:$E$128)</f>
        <v>56038.43934347556</v>
      </c>
      <c r="G129" s="55">
        <f>$G$117-$G$126-$G$128</f>
        <v>39900.40763244919</v>
      </c>
    </row>
    <row r="130" spans="1:7" ht="12.75">
      <c r="A130" s="25"/>
      <c r="B130" s="25" t="s">
        <v>64</v>
      </c>
      <c r="C130" s="25"/>
      <c r="E130" s="57">
        <f>IF(E$112&gt;0,MIN(MAX((E$116+E$126+E$127+E$128)/E$112,0.9),1),0)</f>
        <v>0.9095323530555227</v>
      </c>
      <c r="G130" s="57">
        <f>IF(G$112&gt;0,MIN((G$116+G$126+G$127+G$128)/G$112,1),0)</f>
        <v>0.7172205116082171</v>
      </c>
    </row>
    <row r="131" spans="1:3" ht="12.75">
      <c r="A131" s="25"/>
      <c r="C131" s="25"/>
    </row>
    <row r="132" spans="1:6" ht="12.75">
      <c r="A132" s="25"/>
      <c r="B132" s="50" t="s">
        <v>60</v>
      </c>
      <c r="C132" s="25"/>
      <c r="F132" t="s">
        <v>141</v>
      </c>
    </row>
    <row r="133" spans="1:6" ht="12.75">
      <c r="A133" s="25"/>
      <c r="B133" s="25"/>
      <c r="C133" s="25" t="s">
        <v>61</v>
      </c>
      <c r="E133" s="3">
        <f>$E$129</f>
        <v>56038.43934347556</v>
      </c>
      <c r="F133" s="57">
        <f>IF($E$112&gt;0,$E$133/$E$112,0)</f>
        <v>0.09046764694447733</v>
      </c>
    </row>
    <row r="134" spans="1:6" ht="12.75">
      <c r="A134" s="25"/>
      <c r="B134" s="25"/>
      <c r="C134" s="25" t="s">
        <v>62</v>
      </c>
      <c r="E134" s="3">
        <f>$G$129</f>
        <v>39900.40763244919</v>
      </c>
      <c r="F134" s="57">
        <f>IF($G$112&gt;0,$E$134/$G$112,0)</f>
        <v>0.2827794883917829</v>
      </c>
    </row>
    <row r="135" spans="2:5" ht="12.75">
      <c r="B135" s="25"/>
      <c r="C135" s="25" t="s">
        <v>87</v>
      </c>
      <c r="E135" s="3">
        <f>SUM(E133:$E$134)</f>
        <v>95938.84697592475</v>
      </c>
    </row>
    <row r="137" spans="2:3" ht="12.75">
      <c r="B137" s="53" t="s">
        <v>137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43" right="0.16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">
    <tabColor indexed="2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47" t="s">
        <v>69</v>
      </c>
      <c r="B1" s="47"/>
      <c r="C1" s="25"/>
    </row>
    <row r="2" spans="1:3" ht="12.75">
      <c r="A2" s="25" t="s">
        <v>0</v>
      </c>
      <c r="B2" s="25"/>
      <c r="C2" s="25"/>
    </row>
    <row r="3" spans="1:3" ht="12.75">
      <c r="A3" s="48"/>
      <c r="B3" s="48"/>
      <c r="C3" s="25"/>
    </row>
    <row r="4" spans="1:3" ht="12.75">
      <c r="A4" s="25"/>
      <c r="B4" s="25"/>
      <c r="C4" s="25"/>
    </row>
    <row r="5" spans="1:3" ht="12.75">
      <c r="A5" s="25" t="s">
        <v>38</v>
      </c>
      <c r="B5" s="25"/>
      <c r="C5" s="25"/>
    </row>
    <row r="6" spans="1:3" ht="12.75">
      <c r="A6" s="25"/>
      <c r="B6" s="25"/>
      <c r="C6" s="25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</v>
      </c>
      <c r="F8" s="2" t="s">
        <v>2</v>
      </c>
      <c r="G8" s="2"/>
    </row>
    <row r="9" spans="1:3" ht="12.75">
      <c r="A9" s="48" t="s">
        <v>70</v>
      </c>
      <c r="B9" s="48"/>
      <c r="C9" s="25"/>
    </row>
    <row r="10" spans="1:6" ht="12.75">
      <c r="A10" s="48" t="s">
        <v>71</v>
      </c>
      <c r="B10" s="25"/>
      <c r="C10" s="25"/>
      <c r="E10" s="1"/>
      <c r="F10" s="1"/>
    </row>
    <row r="11" spans="1:6" ht="12.75">
      <c r="A11" s="25"/>
      <c r="B11" s="50" t="s">
        <v>75</v>
      </c>
      <c r="C11" s="25"/>
      <c r="E11" s="59"/>
      <c r="F11" s="1"/>
    </row>
    <row r="12" spans="1:6" ht="12.75">
      <c r="A12" s="25"/>
      <c r="B12" s="25"/>
      <c r="C12" s="25" t="s">
        <v>3</v>
      </c>
      <c r="E12" s="89">
        <f>$F$14-E$13-E$14</f>
        <v>0</v>
      </c>
      <c r="F12" s="1"/>
    </row>
    <row r="13" spans="1:6" ht="12.75">
      <c r="A13" s="25"/>
      <c r="B13" s="25"/>
      <c r="C13" s="25" t="s">
        <v>4</v>
      </c>
      <c r="E13" s="5"/>
      <c r="F13" s="1"/>
    </row>
    <row r="14" spans="1:6" ht="12.75">
      <c r="A14" s="25"/>
      <c r="B14" s="25"/>
      <c r="C14" s="25" t="s">
        <v>5</v>
      </c>
      <c r="E14" s="5"/>
      <c r="F14" s="3"/>
    </row>
    <row r="15" spans="1:6" ht="12.75">
      <c r="A15" s="25"/>
      <c r="B15" s="50" t="s">
        <v>72</v>
      </c>
      <c r="C15" s="25"/>
      <c r="E15" s="1"/>
      <c r="F15" s="1"/>
    </row>
    <row r="16" spans="1:6" ht="12.75">
      <c r="A16" s="25"/>
      <c r="B16" s="25"/>
      <c r="C16" s="25" t="s">
        <v>72</v>
      </c>
      <c r="E16" s="5"/>
      <c r="F16" s="1"/>
    </row>
    <row r="17" spans="1:6" ht="12.75">
      <c r="A17" s="25"/>
      <c r="B17" s="25"/>
      <c r="C17" s="25" t="s">
        <v>73</v>
      </c>
      <c r="E17" s="5"/>
      <c r="F17" s="1"/>
    </row>
    <row r="18" spans="1:6" ht="12.75">
      <c r="A18" s="25"/>
      <c r="B18" s="25"/>
      <c r="C18" s="25" t="s">
        <v>74</v>
      </c>
      <c r="E18" s="5"/>
      <c r="F18" s="3">
        <f>$E$16-$E$17-$E$18</f>
        <v>0</v>
      </c>
    </row>
    <row r="19" spans="1:6" ht="12.75">
      <c r="A19" s="25"/>
      <c r="B19" s="25" t="s">
        <v>76</v>
      </c>
      <c r="C19" s="25"/>
      <c r="F19" s="3"/>
    </row>
    <row r="20" spans="1:6" ht="13.5" thickBot="1">
      <c r="A20" s="25"/>
      <c r="B20" s="25" t="s">
        <v>77</v>
      </c>
      <c r="C20" s="25"/>
      <c r="E20" s="6"/>
      <c r="F20" s="54"/>
    </row>
    <row r="21" spans="1:6" ht="13.5" thickBot="1">
      <c r="A21" s="25"/>
      <c r="B21" s="47" t="s">
        <v>78</v>
      </c>
      <c r="C21" s="25"/>
      <c r="E21" s="6"/>
      <c r="F21" s="55">
        <f>$F$14+$F$18+$F$19+$F$20</f>
        <v>0</v>
      </c>
    </row>
    <row r="22" spans="1:5" ht="12.75">
      <c r="A22" s="25"/>
      <c r="B22" s="25"/>
      <c r="C22" s="25"/>
      <c r="E22" s="6"/>
    </row>
    <row r="23" spans="1:6" ht="12.75">
      <c r="A23" s="48" t="s">
        <v>79</v>
      </c>
      <c r="B23" s="25"/>
      <c r="C23" s="25"/>
      <c r="E23" s="6"/>
      <c r="F23" s="1"/>
    </row>
    <row r="24" spans="1:6" ht="12.75">
      <c r="A24" s="25"/>
      <c r="B24" s="50" t="s">
        <v>6</v>
      </c>
      <c r="C24" s="25"/>
      <c r="E24" s="6"/>
      <c r="F24" s="1"/>
    </row>
    <row r="25" spans="1:6" ht="12.75">
      <c r="A25" s="25"/>
      <c r="B25" s="25"/>
      <c r="C25" s="25" t="s">
        <v>7</v>
      </c>
      <c r="E25" s="5"/>
      <c r="F25" s="1"/>
    </row>
    <row r="26" spans="1:6" ht="12.75">
      <c r="A26" s="25"/>
      <c r="B26" s="25"/>
      <c r="C26" s="25" t="s">
        <v>8</v>
      </c>
      <c r="E26" s="5"/>
      <c r="F26" s="1"/>
    </row>
    <row r="27" spans="1:6" ht="12.75">
      <c r="A27" s="25"/>
      <c r="B27" s="25"/>
      <c r="C27" s="25" t="s">
        <v>80</v>
      </c>
      <c r="E27" s="5"/>
      <c r="F27" s="3">
        <f>SUM($E$25:$E$27)</f>
        <v>0</v>
      </c>
    </row>
    <row r="28" spans="1:5" ht="12.75">
      <c r="A28" s="25"/>
      <c r="B28" s="50" t="s">
        <v>81</v>
      </c>
      <c r="C28" s="25"/>
      <c r="E28" s="1"/>
    </row>
    <row r="29" spans="1:6" ht="12.75">
      <c r="A29" s="25"/>
      <c r="B29" s="25"/>
      <c r="C29" s="25" t="s">
        <v>82</v>
      </c>
      <c r="E29" s="5"/>
      <c r="F29" s="1"/>
    </row>
    <row r="30" spans="1:6" ht="12.75">
      <c r="A30" s="25"/>
      <c r="B30" s="25"/>
      <c r="C30" s="25" t="s">
        <v>83</v>
      </c>
      <c r="E30" s="5"/>
      <c r="F30" s="1"/>
    </row>
    <row r="31" spans="1:6" ht="12.75">
      <c r="A31" s="25"/>
      <c r="B31" s="25"/>
      <c r="C31" s="25" t="s">
        <v>84</v>
      </c>
      <c r="D31" s="1"/>
      <c r="E31" s="5"/>
      <c r="F31" s="1"/>
    </row>
    <row r="32" spans="1:6" ht="12.75">
      <c r="A32" s="25"/>
      <c r="B32" s="25"/>
      <c r="C32" s="25" t="s">
        <v>85</v>
      </c>
      <c r="D32" s="1"/>
      <c r="E32" s="5">
        <f>$F$32-SUM($E$29:$E$31)</f>
        <v>0</v>
      </c>
      <c r="F32" s="3"/>
    </row>
    <row r="33" spans="1:6" ht="12.75">
      <c r="A33" s="25"/>
      <c r="B33" s="50" t="s">
        <v>9</v>
      </c>
      <c r="C33" s="25"/>
      <c r="D33" s="1"/>
      <c r="E33" s="1"/>
      <c r="F33" s="3"/>
    </row>
    <row r="34" spans="1:6" ht="12.75">
      <c r="A34" s="25"/>
      <c r="B34" s="25" t="s">
        <v>86</v>
      </c>
      <c r="C34" s="25"/>
      <c r="E34" s="1"/>
      <c r="F34" s="3"/>
    </row>
    <row r="35" spans="1:6" ht="12.75">
      <c r="A35" s="25"/>
      <c r="B35" s="25" t="s">
        <v>10</v>
      </c>
      <c r="C35" s="25"/>
      <c r="E35" s="1"/>
      <c r="F35" s="3"/>
    </row>
    <row r="36" spans="1:6" ht="12.75">
      <c r="A36" s="25"/>
      <c r="B36" s="25" t="s">
        <v>11</v>
      </c>
      <c r="C36" s="25"/>
      <c r="F36" s="3"/>
    </row>
    <row r="37" spans="1:6" ht="13.5" thickBot="1">
      <c r="A37" s="25"/>
      <c r="B37" s="25" t="s">
        <v>87</v>
      </c>
      <c r="C37" s="25"/>
      <c r="F37" s="54">
        <f>$F$38-($F$27+SUM($F$32:$F$36))</f>
        <v>0</v>
      </c>
    </row>
    <row r="38" spans="1:6" ht="13.5" thickBot="1">
      <c r="A38" s="25"/>
      <c r="B38" s="25" t="s">
        <v>88</v>
      </c>
      <c r="C38" s="25"/>
      <c r="F38" s="55">
        <f>$F$14+$F$18+$F$19+$F$20</f>
        <v>0</v>
      </c>
    </row>
    <row r="39" spans="1:3" ht="12.75">
      <c r="A39" s="25"/>
      <c r="B39" s="25"/>
      <c r="C39" s="25"/>
    </row>
    <row r="40" spans="1:6" ht="12.75">
      <c r="A40" s="48" t="s">
        <v>89</v>
      </c>
      <c r="B40" s="25"/>
      <c r="C40" s="25"/>
      <c r="E40" s="1"/>
      <c r="F40" s="1"/>
    </row>
    <row r="41" spans="1:6" ht="12.75">
      <c r="A41" s="48" t="s">
        <v>90</v>
      </c>
      <c r="B41" s="25"/>
      <c r="C41" s="25"/>
      <c r="E41" s="1"/>
      <c r="F41" s="1"/>
    </row>
    <row r="42" spans="1:6" ht="12.75">
      <c r="A42" s="25"/>
      <c r="B42" s="50" t="s">
        <v>91</v>
      </c>
      <c r="C42" s="25"/>
      <c r="F42" s="1"/>
    </row>
    <row r="43" spans="1:7" ht="12.75">
      <c r="A43" s="25"/>
      <c r="B43" s="25"/>
      <c r="C43" s="25" t="s">
        <v>27</v>
      </c>
      <c r="E43" s="5"/>
      <c r="F43" s="56" t="s">
        <v>138</v>
      </c>
      <c r="G43" s="57">
        <f>IF(E43&gt;0,E43/$F$50,0)</f>
        <v>0</v>
      </c>
    </row>
    <row r="44" spans="1:7" ht="12.75">
      <c r="A44" s="25"/>
      <c r="B44" s="25"/>
      <c r="C44" s="25" t="s">
        <v>28</v>
      </c>
      <c r="E44" s="5"/>
      <c r="F44" s="56" t="s">
        <v>138</v>
      </c>
      <c r="G44" s="57">
        <f aca="true" t="shared" si="0" ref="G44:G50">IF(E44&gt;0,E44/$F$50,0)</f>
        <v>0</v>
      </c>
    </row>
    <row r="45" spans="1:7" ht="12.75">
      <c r="A45" s="25"/>
      <c r="B45" s="25"/>
      <c r="C45" s="25" t="s">
        <v>29</v>
      </c>
      <c r="E45" s="5"/>
      <c r="F45" s="56" t="s">
        <v>138</v>
      </c>
      <c r="G45" s="57">
        <f t="shared" si="0"/>
        <v>0</v>
      </c>
    </row>
    <row r="46" spans="1:7" ht="12.75">
      <c r="A46" s="25"/>
      <c r="B46" s="25"/>
      <c r="C46" s="25" t="s">
        <v>30</v>
      </c>
      <c r="E46" s="5"/>
      <c r="F46" s="56" t="s">
        <v>138</v>
      </c>
      <c r="G46" s="57">
        <f t="shared" si="0"/>
        <v>0</v>
      </c>
    </row>
    <row r="47" spans="1:7" ht="12.75">
      <c r="A47" s="25"/>
      <c r="B47" s="25"/>
      <c r="C47" s="25" t="s">
        <v>31</v>
      </c>
      <c r="E47" s="5"/>
      <c r="F47" s="56" t="s">
        <v>138</v>
      </c>
      <c r="G47" s="57">
        <f t="shared" si="0"/>
        <v>0</v>
      </c>
    </row>
    <row r="48" spans="1:7" ht="12.75">
      <c r="A48" s="25"/>
      <c r="B48" s="25"/>
      <c r="C48" s="25" t="s">
        <v>32</v>
      </c>
      <c r="E48" s="5"/>
      <c r="F48" s="56" t="s">
        <v>138</v>
      </c>
      <c r="G48" s="57">
        <f t="shared" si="0"/>
        <v>0</v>
      </c>
    </row>
    <row r="49" spans="1:7" ht="12.75">
      <c r="A49" s="25"/>
      <c r="B49" s="25"/>
      <c r="C49" s="25" t="s">
        <v>33</v>
      </c>
      <c r="E49" s="5"/>
      <c r="F49" s="56" t="s">
        <v>138</v>
      </c>
      <c r="G49" s="57">
        <f t="shared" si="0"/>
        <v>0</v>
      </c>
    </row>
    <row r="50" spans="1:7" ht="13.5" thickBot="1">
      <c r="A50" s="25"/>
      <c r="B50" s="25"/>
      <c r="C50" s="25" t="s">
        <v>34</v>
      </c>
      <c r="E50" s="5"/>
      <c r="F50" s="55">
        <f>SUM($E$43:$E$50)</f>
        <v>0</v>
      </c>
      <c r="G50" s="57">
        <f t="shared" si="0"/>
        <v>0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92</v>
      </c>
      <c r="B52" s="25"/>
      <c r="C52" s="25"/>
      <c r="E52" s="6"/>
      <c r="F52" s="6"/>
    </row>
    <row r="53" spans="1:3" ht="12.75">
      <c r="A53" s="25"/>
      <c r="B53" s="50" t="s">
        <v>93</v>
      </c>
      <c r="C53" s="25"/>
    </row>
    <row r="54" spans="1:5" ht="12.75">
      <c r="A54" s="25"/>
      <c r="B54" s="25"/>
      <c r="C54" s="25" t="s">
        <v>82</v>
      </c>
      <c r="E54" s="5"/>
    </row>
    <row r="55" spans="1:5" ht="12.75">
      <c r="A55" s="25"/>
      <c r="B55" s="25"/>
      <c r="C55" s="25" t="s">
        <v>83</v>
      </c>
      <c r="E55" s="5"/>
    </row>
    <row r="56" spans="1:5" ht="12.75">
      <c r="A56" s="25"/>
      <c r="B56" s="25"/>
      <c r="C56" s="25" t="s">
        <v>84</v>
      </c>
      <c r="E56" s="5"/>
    </row>
    <row r="57" spans="1:6" ht="12.75">
      <c r="A57" s="25"/>
      <c r="B57" s="25"/>
      <c r="C57" s="25" t="s">
        <v>94</v>
      </c>
      <c r="E57" s="5"/>
      <c r="F57" s="3">
        <f>SUM($E$54:$E$57)</f>
        <v>0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95</v>
      </c>
      <c r="B59" s="25"/>
      <c r="C59" s="25"/>
      <c r="E59" s="1"/>
      <c r="F59" s="1"/>
    </row>
    <row r="60" spans="1:6" ht="12.75">
      <c r="A60" s="25"/>
      <c r="B60" s="25"/>
      <c r="C60" s="25" t="s">
        <v>13</v>
      </c>
      <c r="F60" s="3"/>
    </row>
    <row r="61" spans="1:6" ht="12.75">
      <c r="A61" s="25"/>
      <c r="B61" s="25"/>
      <c r="C61" s="25" t="s">
        <v>14</v>
      </c>
      <c r="F61" s="3">
        <f>$F$36</f>
        <v>0</v>
      </c>
    </row>
    <row r="62" spans="1:6" ht="12.75">
      <c r="A62" s="25"/>
      <c r="B62" s="25"/>
      <c r="C62" s="25" t="s">
        <v>139</v>
      </c>
      <c r="F62" s="3"/>
    </row>
    <row r="63" spans="1:6" ht="12.75">
      <c r="A63" s="25"/>
      <c r="B63" s="25"/>
      <c r="C63" s="25" t="s">
        <v>15</v>
      </c>
      <c r="E63" s="5"/>
      <c r="F63" s="1"/>
    </row>
    <row r="64" spans="1:6" ht="13.5" thickBot="1">
      <c r="A64" s="25"/>
      <c r="B64" s="25"/>
      <c r="C64" s="25" t="s">
        <v>96</v>
      </c>
      <c r="E64" s="5"/>
      <c r="F64" s="55">
        <f>$E$64+$E$63</f>
        <v>0</v>
      </c>
    </row>
    <row r="65" spans="1:6" ht="13.5" thickBot="1">
      <c r="A65" s="25"/>
      <c r="B65" s="25"/>
      <c r="C65" s="25" t="s">
        <v>16</v>
      </c>
      <c r="F65" s="55">
        <f>$F$60+$F$61+$F$62-$F$64</f>
        <v>0</v>
      </c>
    </row>
    <row r="66" spans="1:6" ht="12.75">
      <c r="A66" s="25"/>
      <c r="B66" s="25"/>
      <c r="C66" s="25"/>
      <c r="F66" s="1"/>
    </row>
    <row r="67" spans="1:6" ht="12.75">
      <c r="A67" s="48" t="s">
        <v>97</v>
      </c>
      <c r="B67" s="25"/>
      <c r="C67" s="25"/>
      <c r="F67" s="1"/>
    </row>
    <row r="68" spans="1:6" ht="12.75">
      <c r="A68" s="25"/>
      <c r="B68" s="25"/>
      <c r="C68" s="25" t="s">
        <v>13</v>
      </c>
      <c r="E68" s="26"/>
      <c r="F68" s="3"/>
    </row>
    <row r="69" spans="1:6" ht="12.75">
      <c r="A69" s="25"/>
      <c r="B69" s="25"/>
      <c r="C69" s="25" t="s">
        <v>54</v>
      </c>
      <c r="E69" s="5"/>
      <c r="F69" s="58"/>
    </row>
    <row r="70" spans="1:6" ht="12.75">
      <c r="A70" s="25"/>
      <c r="B70" s="25"/>
      <c r="C70" s="25" t="s">
        <v>98</v>
      </c>
      <c r="E70" s="5"/>
      <c r="F70" s="3">
        <f>$E$69+$E$70</f>
        <v>0</v>
      </c>
    </row>
    <row r="71" spans="1:6" ht="12.75">
      <c r="A71" s="25"/>
      <c r="B71" s="25"/>
      <c r="C71" s="25" t="s">
        <v>55</v>
      </c>
      <c r="E71" s="5"/>
      <c r="F71" s="60"/>
    </row>
    <row r="72" spans="1:6" ht="13.5" thickBot="1">
      <c r="A72" s="49"/>
      <c r="B72" s="49"/>
      <c r="C72" s="25" t="s">
        <v>99</v>
      </c>
      <c r="E72" s="5"/>
      <c r="F72" s="55">
        <f>$E$72+$E$71</f>
        <v>0</v>
      </c>
    </row>
    <row r="73" spans="1:6" ht="13.5" thickBot="1">
      <c r="A73" s="49"/>
      <c r="B73" s="49"/>
      <c r="C73" s="25" t="s">
        <v>16</v>
      </c>
      <c r="E73" s="26"/>
      <c r="F73" s="55">
        <f>$F$68+$F$70-$F$72</f>
        <v>0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100</v>
      </c>
      <c r="B75" s="49"/>
      <c r="C75" s="25"/>
      <c r="E75" s="60"/>
      <c r="F75" s="61"/>
    </row>
    <row r="76" spans="1:7" ht="13.5" thickBot="1">
      <c r="A76" s="25"/>
      <c r="B76" s="25" t="s">
        <v>17</v>
      </c>
      <c r="C76" s="25" t="s">
        <v>101</v>
      </c>
      <c r="D76" s="26"/>
      <c r="E76" s="55">
        <f>$E$16-$E$17</f>
        <v>0</v>
      </c>
      <c r="F76" s="55">
        <f>$F$18</f>
        <v>0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12.75">
      <c r="A78" s="25"/>
      <c r="B78" s="25" t="s">
        <v>20</v>
      </c>
      <c r="C78" s="25" t="s">
        <v>102</v>
      </c>
      <c r="D78" s="26"/>
      <c r="E78" s="58" t="s">
        <v>18</v>
      </c>
      <c r="F78" s="58" t="s">
        <v>19</v>
      </c>
      <c r="G78" s="26"/>
    </row>
    <row r="79" spans="1:7" ht="12.75">
      <c r="A79" s="25"/>
      <c r="B79" s="25"/>
      <c r="C79" s="25" t="s">
        <v>21</v>
      </c>
      <c r="D79" s="26"/>
      <c r="E79" s="3"/>
      <c r="F79" s="3"/>
      <c r="G79" s="26"/>
    </row>
    <row r="80" spans="1:7" ht="12.75">
      <c r="A80" s="25"/>
      <c r="B80" s="25"/>
      <c r="C80" s="25" t="s">
        <v>23</v>
      </c>
      <c r="D80" s="26"/>
      <c r="E80" s="3"/>
      <c r="F80" s="3"/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22</v>
      </c>
      <c r="C82" s="25" t="s">
        <v>103</v>
      </c>
      <c r="D82" s="59"/>
      <c r="E82" s="26"/>
      <c r="F82" s="59"/>
      <c r="G82" s="26"/>
    </row>
    <row r="83" spans="1:7" ht="13.5" thickBot="1">
      <c r="A83" s="25"/>
      <c r="B83" s="25"/>
      <c r="C83" s="25" t="s">
        <v>104</v>
      </c>
      <c r="D83" s="59"/>
      <c r="E83" s="61"/>
      <c r="F83" s="55">
        <f>$F$79-$E$79</f>
        <v>0</v>
      </c>
      <c r="G83" s="61"/>
    </row>
    <row r="84" spans="1:7" ht="13.5" thickBot="1">
      <c r="A84" s="25"/>
      <c r="B84" s="25"/>
      <c r="C84" s="25" t="s">
        <v>105</v>
      </c>
      <c r="D84" s="26"/>
      <c r="E84" s="26"/>
      <c r="F84" s="55">
        <f>$F$80-$E$80</f>
        <v>0</v>
      </c>
      <c r="G84" s="26"/>
    </row>
    <row r="85" spans="1:7" ht="13.5" thickBot="1">
      <c r="A85" s="25"/>
      <c r="B85" s="25"/>
      <c r="C85" s="25" t="s">
        <v>106</v>
      </c>
      <c r="D85" s="59"/>
      <c r="E85" s="26"/>
      <c r="F85" s="55">
        <f>$F$84-$F$83</f>
        <v>0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24</v>
      </c>
      <c r="C87" s="25" t="s">
        <v>107</v>
      </c>
      <c r="D87" s="59"/>
      <c r="E87" s="57">
        <f>IF($E$79+$E$80&gt;0,E$76/(($E$79+$E$80)/2),0)</f>
        <v>0</v>
      </c>
      <c r="F87" s="57">
        <f>IF($E$79+$E$80&gt;0,F$76/(($E$79+$E$80)/2),0)</f>
        <v>0</v>
      </c>
      <c r="G87" s="61"/>
    </row>
    <row r="88" spans="1:7" ht="12.75">
      <c r="A88" s="25"/>
      <c r="B88" s="25" t="s">
        <v>25</v>
      </c>
      <c r="C88" s="25" t="s">
        <v>108</v>
      </c>
      <c r="D88" s="26"/>
      <c r="E88" s="57">
        <f>IF($F$79+$F$80&gt;0,(E$76+($F$80-$E$80)-($F$79-$E$79))/(($F$79+$F$80)/2),0)</f>
        <v>0</v>
      </c>
      <c r="F88" s="57">
        <f>IF($F$79+$F$80&gt;0,(F$76+($F$80-$E$80)-($F$79-$E$79))/(($F$79+$F$80)/2),0)</f>
        <v>0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26</v>
      </c>
      <c r="C90" s="25" t="s">
        <v>109</v>
      </c>
      <c r="D90" s="26"/>
      <c r="E90" s="59"/>
      <c r="F90" s="26"/>
      <c r="G90" s="62"/>
    </row>
    <row r="91" spans="1:7" ht="12.75">
      <c r="A91" s="25"/>
      <c r="B91" s="25"/>
      <c r="C91" s="25" t="s">
        <v>110</v>
      </c>
      <c r="D91" s="26"/>
      <c r="E91" s="68"/>
      <c r="F91" s="67"/>
      <c r="G91" s="59"/>
    </row>
    <row r="92" spans="1:7" ht="12.75">
      <c r="A92" s="25"/>
      <c r="B92" s="25"/>
      <c r="C92" s="25" t="s">
        <v>111</v>
      </c>
      <c r="D92" s="26"/>
      <c r="E92" s="68"/>
      <c r="F92" s="67"/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35</v>
      </c>
      <c r="C94" s="25" t="s">
        <v>37</v>
      </c>
      <c r="D94" s="26"/>
      <c r="E94" s="64"/>
      <c r="F94" s="26"/>
      <c r="G94" s="65"/>
    </row>
    <row r="95" spans="1:7" ht="12.75">
      <c r="A95" s="25"/>
      <c r="B95" s="25"/>
      <c r="C95" s="25" t="s">
        <v>112</v>
      </c>
      <c r="D95" s="26"/>
      <c r="E95" s="26"/>
      <c r="F95" s="8"/>
      <c r="G95" s="26"/>
    </row>
    <row r="96" spans="1:7" ht="12.75">
      <c r="A96" s="25"/>
      <c r="B96" s="25"/>
      <c r="C96" s="25" t="s">
        <v>113</v>
      </c>
      <c r="D96" s="26"/>
      <c r="E96" s="26"/>
      <c r="F96" s="8"/>
      <c r="G96" s="26"/>
    </row>
    <row r="97" spans="1:7" ht="13.5" thickBot="1">
      <c r="A97" s="25"/>
      <c r="B97" s="25"/>
      <c r="C97" s="25" t="s">
        <v>114</v>
      </c>
      <c r="D97" s="26"/>
      <c r="E97" s="61"/>
      <c r="F97" s="69"/>
      <c r="G97" s="26"/>
    </row>
    <row r="98" spans="1:7" ht="13.5" thickBot="1">
      <c r="A98" s="25"/>
      <c r="B98" s="25"/>
      <c r="C98" s="25" t="s">
        <v>115</v>
      </c>
      <c r="D98" s="26"/>
      <c r="E98" s="61"/>
      <c r="F98" s="70">
        <f>SUM($F$95:$F$97)</f>
        <v>0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36</v>
      </c>
      <c r="C100" s="25" t="s">
        <v>43</v>
      </c>
    </row>
    <row r="101" spans="1:6" ht="12.75">
      <c r="A101" s="25"/>
      <c r="B101" s="25"/>
      <c r="C101" s="25" t="s">
        <v>116</v>
      </c>
      <c r="F101" s="3">
        <f>$E$18</f>
        <v>0</v>
      </c>
    </row>
    <row r="102" spans="1:6" ht="12.75">
      <c r="A102" s="25"/>
      <c r="B102" s="25"/>
      <c r="C102" s="25" t="s">
        <v>117</v>
      </c>
      <c r="F102" s="57">
        <f>IF($F$101&gt;0,$F$101/(($F$79+$F$80)/2),0)</f>
        <v>0</v>
      </c>
    </row>
    <row r="103" spans="1:5" ht="12.75">
      <c r="A103" s="25"/>
      <c r="B103" s="25"/>
      <c r="C103" s="25" t="s">
        <v>9</v>
      </c>
      <c r="E103" s="5"/>
    </row>
    <row r="104" spans="1:6" ht="13.5" thickBot="1">
      <c r="A104" s="25"/>
      <c r="B104" s="25"/>
      <c r="C104" s="25" t="s">
        <v>118</v>
      </c>
      <c r="E104" s="5"/>
      <c r="F104" s="55">
        <f>$E$103-$E$104</f>
        <v>0</v>
      </c>
    </row>
    <row r="105" spans="1:6" ht="12.75">
      <c r="A105" s="25"/>
      <c r="B105" s="25"/>
      <c r="C105" s="25" t="s">
        <v>119</v>
      </c>
      <c r="F105" s="3">
        <f>IF(F$98&gt;0,(1000*F$104)/F$98,0)</f>
        <v>0</v>
      </c>
    </row>
    <row r="106" spans="1:6" ht="12.75">
      <c r="A106" s="25"/>
      <c r="B106" s="25"/>
      <c r="C106" s="25" t="s">
        <v>120</v>
      </c>
      <c r="F106" s="3">
        <f>IF($F$98&gt;0,$E$14*1000/$F$98,0)</f>
        <v>0</v>
      </c>
    </row>
    <row r="107" spans="1:3" ht="12.75">
      <c r="A107" s="25"/>
      <c r="B107" s="25"/>
      <c r="C107" s="25"/>
    </row>
    <row r="108" spans="1:3" ht="12.75">
      <c r="A108" s="48" t="s">
        <v>144</v>
      </c>
      <c r="B108" s="25"/>
      <c r="C108" s="25"/>
    </row>
    <row r="109" spans="1:7" ht="12.75">
      <c r="A109" s="25"/>
      <c r="B109" s="50" t="s">
        <v>56</v>
      </c>
      <c r="C109" s="25"/>
      <c r="D109" s="108" t="s">
        <v>142</v>
      </c>
      <c r="E109" s="108"/>
      <c r="F109" s="108" t="s">
        <v>143</v>
      </c>
      <c r="G109" s="108"/>
    </row>
    <row r="110" spans="1:6" ht="12.75">
      <c r="A110" s="25"/>
      <c r="B110" s="25"/>
      <c r="C110" s="25" t="s">
        <v>121</v>
      </c>
      <c r="D110" s="5"/>
      <c r="F110" s="5"/>
    </row>
    <row r="111" spans="1:6" ht="12.75">
      <c r="A111" s="25"/>
      <c r="B111" s="25"/>
      <c r="C111" s="25" t="s">
        <v>122</v>
      </c>
      <c r="D111" s="5"/>
      <c r="F111" s="5"/>
    </row>
    <row r="112" spans="1:7" ht="12.75">
      <c r="A112" s="25"/>
      <c r="B112" s="25"/>
      <c r="C112" s="25" t="s">
        <v>123</v>
      </c>
      <c r="D112" s="5"/>
      <c r="E112" s="3">
        <f>SUM($D$110:$D$112)</f>
        <v>0</v>
      </c>
      <c r="F112" s="5"/>
      <c r="G112" s="3">
        <f>SUM($F$110:$F$112)</f>
        <v>0</v>
      </c>
    </row>
    <row r="113" spans="1:3" ht="12.75">
      <c r="A113" s="25"/>
      <c r="B113" s="50" t="s">
        <v>57</v>
      </c>
      <c r="C113" s="25"/>
    </row>
    <row r="114" spans="1:6" ht="12.75">
      <c r="A114" s="25"/>
      <c r="B114" s="25"/>
      <c r="C114" s="25" t="s">
        <v>124</v>
      </c>
      <c r="D114" s="5"/>
      <c r="F114" s="5"/>
    </row>
    <row r="115" spans="1:6" ht="12.75">
      <c r="A115" s="25"/>
      <c r="B115" s="25"/>
      <c r="C115" s="25" t="s">
        <v>125</v>
      </c>
      <c r="D115" s="5"/>
      <c r="F115" s="5"/>
    </row>
    <row r="116" spans="1:7" ht="12.75">
      <c r="A116" s="25"/>
      <c r="B116" s="25"/>
      <c r="C116" s="25" t="s">
        <v>126</v>
      </c>
      <c r="D116" s="5"/>
      <c r="E116" s="3">
        <f>SUM($D$114:$D$116)</f>
        <v>0</v>
      </c>
      <c r="F116" s="5"/>
      <c r="G116" s="3">
        <f>SUM($F$114:$F$116)</f>
        <v>0</v>
      </c>
    </row>
    <row r="117" spans="1:7" ht="14.25">
      <c r="A117" s="25"/>
      <c r="B117" s="51" t="s">
        <v>136</v>
      </c>
      <c r="C117" s="25"/>
      <c r="E117" s="3">
        <f>$E$112-$E$116</f>
        <v>0</v>
      </c>
      <c r="G117" s="3">
        <f>$G$112-$G$116</f>
        <v>0</v>
      </c>
    </row>
    <row r="118" spans="1:3" ht="12.75">
      <c r="A118" s="25"/>
      <c r="B118" s="50" t="s">
        <v>127</v>
      </c>
      <c r="C118" s="25"/>
    </row>
    <row r="119" spans="1:6" ht="12.75">
      <c r="A119" s="25"/>
      <c r="B119" s="25"/>
      <c r="C119" s="25" t="s">
        <v>128</v>
      </c>
      <c r="D119" s="5"/>
      <c r="F119" s="5"/>
    </row>
    <row r="120" spans="1:6" ht="12.75">
      <c r="A120" s="25"/>
      <c r="B120" s="25"/>
      <c r="C120" s="25" t="s">
        <v>129</v>
      </c>
      <c r="D120" s="5"/>
      <c r="F120" s="5"/>
    </row>
    <row r="121" spans="1:6" ht="12.75">
      <c r="A121" s="25"/>
      <c r="B121" s="25"/>
      <c r="C121" s="25" t="s">
        <v>130</v>
      </c>
      <c r="D121" s="5"/>
      <c r="F121" s="5"/>
    </row>
    <row r="122" spans="1:6" ht="12.75">
      <c r="A122" s="25"/>
      <c r="B122" s="25"/>
      <c r="C122" s="25" t="s">
        <v>131</v>
      </c>
      <c r="D122" s="5"/>
      <c r="F122" s="5"/>
    </row>
    <row r="123" spans="1:6" ht="12.75">
      <c r="A123" s="25"/>
      <c r="B123" s="25"/>
      <c r="C123" s="25" t="s">
        <v>132</v>
      </c>
      <c r="D123" s="5"/>
      <c r="F123" s="5"/>
    </row>
    <row r="124" spans="1:6" ht="12.75">
      <c r="A124" s="25"/>
      <c r="B124" s="25"/>
      <c r="C124" s="25" t="s">
        <v>133</v>
      </c>
      <c r="D124" s="5"/>
      <c r="F124" s="5"/>
    </row>
    <row r="125" spans="1:6" ht="12.75">
      <c r="A125" s="25"/>
      <c r="B125" s="25"/>
      <c r="C125" s="25" t="s">
        <v>134</v>
      </c>
      <c r="D125" s="5"/>
      <c r="F125" s="5"/>
    </row>
    <row r="126" spans="1:7" ht="12.75">
      <c r="A126" s="25"/>
      <c r="B126" s="25"/>
      <c r="C126" s="25" t="s">
        <v>135</v>
      </c>
      <c r="D126" s="5"/>
      <c r="E126" s="3">
        <f>SUM($D$119:$D$126)</f>
        <v>0</v>
      </c>
      <c r="F126" s="5"/>
      <c r="G126" s="3">
        <f>SUM($F$119:$F$126)</f>
        <v>0</v>
      </c>
    </row>
    <row r="127" spans="1:5" ht="12.75">
      <c r="A127" s="25"/>
      <c r="B127" s="25" t="s">
        <v>58</v>
      </c>
      <c r="C127" s="25"/>
      <c r="E127" s="3"/>
    </row>
    <row r="128" spans="1:7" ht="13.5" thickBot="1">
      <c r="A128" s="25"/>
      <c r="B128" s="25" t="s">
        <v>59</v>
      </c>
      <c r="C128" s="25"/>
      <c r="E128" s="54"/>
      <c r="G128" s="55"/>
    </row>
    <row r="129" spans="1:7" ht="13.5" thickBot="1">
      <c r="A129" s="25"/>
      <c r="B129" s="25" t="s">
        <v>12</v>
      </c>
      <c r="C129" s="25"/>
      <c r="E129" s="55">
        <f>$E$117-SUM($E$126:$E$128)</f>
        <v>0</v>
      </c>
      <c r="G129" s="55">
        <f>$G$117-$G$126-$G$128</f>
        <v>0</v>
      </c>
    </row>
    <row r="130" spans="1:7" ht="12.75">
      <c r="A130" s="25"/>
      <c r="B130" s="25" t="s">
        <v>64</v>
      </c>
      <c r="C130" s="25"/>
      <c r="E130" s="57">
        <f>IF(E$112&gt;0,MIN(MAX((E$116+E$126+E$127+E$128)/E$112,0.9),1),0)</f>
        <v>0</v>
      </c>
      <c r="G130" s="57">
        <f>IF(G$112&gt;0,MIN((G$116+G$126+G$127+G$128)/G$112,1),0)</f>
        <v>0</v>
      </c>
    </row>
    <row r="131" spans="1:3" ht="12.75">
      <c r="A131" s="25"/>
      <c r="C131" s="25"/>
    </row>
    <row r="132" spans="1:6" ht="12.75">
      <c r="A132" s="25"/>
      <c r="B132" s="50" t="s">
        <v>60</v>
      </c>
      <c r="C132" s="25"/>
      <c r="F132" t="s">
        <v>141</v>
      </c>
    </row>
    <row r="133" spans="1:6" ht="12.75">
      <c r="A133" s="25"/>
      <c r="B133" s="25"/>
      <c r="C133" s="25" t="s">
        <v>61</v>
      </c>
      <c r="E133" s="3">
        <f>$E$129</f>
        <v>0</v>
      </c>
      <c r="F133" s="57">
        <f>IF($E$112&gt;0,$E$133/$E$112,0)</f>
        <v>0</v>
      </c>
    </row>
    <row r="134" spans="1:6" ht="12.75">
      <c r="A134" s="25"/>
      <c r="B134" s="25"/>
      <c r="C134" s="25" t="s">
        <v>62</v>
      </c>
      <c r="E134" s="3">
        <f>$G$129</f>
        <v>0</v>
      </c>
      <c r="F134" s="57">
        <f>IF($G$112&gt;0,$E$134/$G$112,0)</f>
        <v>0</v>
      </c>
    </row>
    <row r="135" spans="2:5" ht="12.75">
      <c r="B135" s="25"/>
      <c r="C135" s="25" t="s">
        <v>87</v>
      </c>
      <c r="E135" s="3">
        <f>SUM(E133:$E$134)</f>
        <v>0</v>
      </c>
    </row>
    <row r="137" spans="2:3" ht="12.75">
      <c r="B137" s="53" t="s">
        <v>137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43" right="0.16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7">
    <tabColor indexed="13"/>
  </sheetPr>
  <dimension ref="A1:BE13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4" width="12.28125" style="0" customWidth="1"/>
    <col min="5" max="5" width="12.7109375" style="0" bestFit="1" customWidth="1"/>
    <col min="6" max="6" width="13.28125" style="0" bestFit="1" customWidth="1"/>
    <col min="7" max="8" width="11.7109375" style="0" customWidth="1"/>
    <col min="9" max="9" width="13.421875" style="0" bestFit="1" customWidth="1"/>
    <col min="10" max="10" width="14.421875" style="0" bestFit="1" customWidth="1"/>
    <col min="11" max="12" width="11.7109375" style="0" customWidth="1"/>
    <col min="13" max="13" width="11.57421875" style="0" bestFit="1" customWidth="1"/>
    <col min="14" max="14" width="13.28125" style="0" bestFit="1" customWidth="1"/>
    <col min="15" max="16" width="11.7109375" style="0" customWidth="1"/>
    <col min="17" max="17" width="13.00390625" style="0" bestFit="1" customWidth="1"/>
    <col min="18" max="18" width="13.421875" style="0" bestFit="1" customWidth="1"/>
    <col min="19" max="20" width="11.7109375" style="0" customWidth="1"/>
    <col min="21" max="21" width="12.57421875" style="0" bestFit="1" customWidth="1"/>
    <col min="22" max="22" width="13.28125" style="0" bestFit="1" customWidth="1"/>
    <col min="23" max="24" width="11.7109375" style="0" customWidth="1"/>
    <col min="25" max="25" width="12.7109375" style="0" customWidth="1"/>
    <col min="26" max="26" width="13.28125" style="0" bestFit="1" customWidth="1"/>
    <col min="27" max="28" width="11.7109375" style="0" customWidth="1"/>
    <col min="29" max="29" width="13.00390625" style="0" bestFit="1" customWidth="1"/>
    <col min="30" max="30" width="13.421875" style="0" bestFit="1" customWidth="1"/>
    <col min="33" max="33" width="11.57421875" style="0" bestFit="1" customWidth="1"/>
    <col min="34" max="34" width="13.28125" style="0" bestFit="1" customWidth="1"/>
    <col min="37" max="37" width="14.7109375" style="0" bestFit="1" customWidth="1"/>
    <col min="38" max="38" width="14.421875" style="0" bestFit="1" customWidth="1"/>
    <col min="41" max="41" width="14.421875" style="0" bestFit="1" customWidth="1"/>
    <col min="42" max="42" width="14.140625" style="0" bestFit="1" customWidth="1"/>
    <col min="44" max="47" width="11.28125" style="0" customWidth="1"/>
    <col min="49" max="49" width="13.421875" style="0" bestFit="1" customWidth="1"/>
    <col min="50" max="50" width="14.421875" style="0" bestFit="1" customWidth="1"/>
    <col min="53" max="54" width="15.28125" style="0" customWidth="1"/>
  </cols>
  <sheetData>
    <row r="1" spans="1:29" ht="12.75">
      <c r="A1" s="86" t="s">
        <v>69</v>
      </c>
      <c r="B1" s="8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12.75">
      <c r="A2" s="25" t="s">
        <v>0</v>
      </c>
      <c r="B2" s="25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55" ht="13.5" thickBot="1">
      <c r="A3" s="21" t="s">
        <v>52</v>
      </c>
      <c r="B3" s="21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Z3" s="15"/>
      <c r="BA3" s="15"/>
      <c r="BB3" s="15"/>
      <c r="BC3" s="15"/>
    </row>
    <row r="4" spans="1:55" ht="13.5" thickBot="1">
      <c r="A4" s="20"/>
      <c r="B4" s="20"/>
      <c r="C4" s="17"/>
      <c r="D4" s="101" t="s">
        <v>65</v>
      </c>
      <c r="E4" s="102"/>
      <c r="F4" s="102"/>
      <c r="G4" s="103"/>
      <c r="H4" s="101" t="s">
        <v>47</v>
      </c>
      <c r="I4" s="102"/>
      <c r="J4" s="102"/>
      <c r="K4" s="103"/>
      <c r="L4" s="101" t="s">
        <v>48</v>
      </c>
      <c r="M4" s="102"/>
      <c r="N4" s="102"/>
      <c r="O4" s="103"/>
      <c r="P4" s="101" t="s">
        <v>63</v>
      </c>
      <c r="Q4" s="102"/>
      <c r="R4" s="102"/>
      <c r="S4" s="103"/>
      <c r="T4" s="101" t="s">
        <v>44</v>
      </c>
      <c r="U4" s="102"/>
      <c r="V4" s="102"/>
      <c r="W4" s="103"/>
      <c r="X4" s="101" t="s">
        <v>67</v>
      </c>
      <c r="Y4" s="102"/>
      <c r="Z4" s="102"/>
      <c r="AA4" s="103"/>
      <c r="AB4" s="101" t="s">
        <v>39</v>
      </c>
      <c r="AC4" s="102"/>
      <c r="AD4" s="102"/>
      <c r="AE4" s="103"/>
      <c r="AF4" s="101" t="s">
        <v>45</v>
      </c>
      <c r="AG4" s="102"/>
      <c r="AH4" s="102"/>
      <c r="AI4" s="103"/>
      <c r="AJ4" s="101" t="s">
        <v>41</v>
      </c>
      <c r="AK4" s="102"/>
      <c r="AL4" s="102"/>
      <c r="AM4" s="103"/>
      <c r="AN4" s="101" t="s">
        <v>49</v>
      </c>
      <c r="AO4" s="102"/>
      <c r="AP4" s="102"/>
      <c r="AQ4" s="103"/>
      <c r="AR4" s="101" t="s">
        <v>40</v>
      </c>
      <c r="AS4" s="102"/>
      <c r="AT4" s="102"/>
      <c r="AU4" s="103"/>
      <c r="AV4" s="101" t="s">
        <v>66</v>
      </c>
      <c r="AW4" s="102"/>
      <c r="AX4" s="102"/>
      <c r="AY4" s="102"/>
      <c r="AZ4" s="104" t="s">
        <v>51</v>
      </c>
      <c r="BA4" s="105"/>
      <c r="BB4" s="105"/>
      <c r="BC4" s="106"/>
    </row>
    <row r="5" spans="1:55" ht="12.75">
      <c r="A5" s="20" t="s">
        <v>38</v>
      </c>
      <c r="B5" s="20"/>
      <c r="C5" s="17"/>
      <c r="D5" s="18"/>
      <c r="E5" s="37"/>
      <c r="F5" s="37"/>
      <c r="G5" s="28"/>
      <c r="H5" s="18"/>
      <c r="I5" s="37"/>
      <c r="J5" s="37"/>
      <c r="K5" s="28"/>
      <c r="L5" s="18"/>
      <c r="M5" s="37"/>
      <c r="N5" s="37"/>
      <c r="O5" s="28"/>
      <c r="P5" s="18"/>
      <c r="Q5" s="37"/>
      <c r="R5" s="37"/>
      <c r="S5" s="28"/>
      <c r="T5" s="18"/>
      <c r="U5" s="37"/>
      <c r="V5" s="37"/>
      <c r="W5" s="28"/>
      <c r="X5" s="18"/>
      <c r="Y5" s="37"/>
      <c r="Z5" s="37"/>
      <c r="AA5" s="28"/>
      <c r="AB5" s="18"/>
      <c r="AC5" s="37"/>
      <c r="AD5" s="37"/>
      <c r="AE5" s="28"/>
      <c r="AF5" s="18"/>
      <c r="AG5" s="37"/>
      <c r="AH5" s="37"/>
      <c r="AI5" s="28"/>
      <c r="AJ5" s="18"/>
      <c r="AK5" s="37"/>
      <c r="AL5" s="37"/>
      <c r="AM5" s="28"/>
      <c r="AN5" s="18"/>
      <c r="AO5" s="37"/>
      <c r="AP5" s="37"/>
      <c r="AQ5" s="28"/>
      <c r="AR5" s="18"/>
      <c r="AS5" s="37"/>
      <c r="AT5" s="37"/>
      <c r="AU5" s="28"/>
      <c r="AV5" s="18"/>
      <c r="AW5" s="37"/>
      <c r="AX5" s="37"/>
      <c r="AY5" s="37"/>
      <c r="AZ5" s="33"/>
      <c r="BA5" s="15"/>
      <c r="BB5" s="15"/>
      <c r="BC5" s="12"/>
    </row>
    <row r="6" spans="1:55" ht="12.75">
      <c r="A6" s="20"/>
      <c r="B6" s="20"/>
      <c r="C6" s="17"/>
      <c r="D6" s="19"/>
      <c r="E6" s="30" t="s">
        <v>1</v>
      </c>
      <c r="F6" s="30" t="s">
        <v>2</v>
      </c>
      <c r="G6" s="29"/>
      <c r="H6" s="19"/>
      <c r="I6" s="30" t="s">
        <v>1</v>
      </c>
      <c r="J6" s="30" t="s">
        <v>2</v>
      </c>
      <c r="K6" s="29"/>
      <c r="L6" s="19"/>
      <c r="M6" s="30" t="s">
        <v>1</v>
      </c>
      <c r="N6" s="30" t="s">
        <v>2</v>
      </c>
      <c r="O6" s="29"/>
      <c r="P6" s="19"/>
      <c r="Q6" s="30" t="s">
        <v>1</v>
      </c>
      <c r="R6" s="30" t="s">
        <v>2</v>
      </c>
      <c r="S6" s="29"/>
      <c r="T6" s="19"/>
      <c r="U6" s="30" t="s">
        <v>1</v>
      </c>
      <c r="V6" s="30" t="s">
        <v>2</v>
      </c>
      <c r="W6" s="29"/>
      <c r="X6" s="19"/>
      <c r="Y6" s="30" t="s">
        <v>1</v>
      </c>
      <c r="Z6" s="30" t="s">
        <v>2</v>
      </c>
      <c r="AA6" s="29"/>
      <c r="AB6" s="19"/>
      <c r="AC6" s="30" t="s">
        <v>1</v>
      </c>
      <c r="AD6" s="30" t="s">
        <v>2</v>
      </c>
      <c r="AE6" s="29"/>
      <c r="AF6" s="19"/>
      <c r="AG6" s="30" t="s">
        <v>1</v>
      </c>
      <c r="AH6" s="30" t="s">
        <v>2</v>
      </c>
      <c r="AI6" s="29"/>
      <c r="AJ6" s="19"/>
      <c r="AK6" s="30" t="s">
        <v>1</v>
      </c>
      <c r="AL6" s="30" t="s">
        <v>2</v>
      </c>
      <c r="AM6" s="29"/>
      <c r="AN6" s="19"/>
      <c r="AO6" s="30" t="s">
        <v>1</v>
      </c>
      <c r="AP6" s="30" t="s">
        <v>2</v>
      </c>
      <c r="AQ6" s="29"/>
      <c r="AR6" s="19"/>
      <c r="AS6" s="30" t="s">
        <v>1</v>
      </c>
      <c r="AT6" s="30" t="s">
        <v>2</v>
      </c>
      <c r="AU6" s="29"/>
      <c r="AV6" s="19"/>
      <c r="AW6" s="30" t="s">
        <v>1</v>
      </c>
      <c r="AX6" s="30" t="s">
        <v>2</v>
      </c>
      <c r="AY6" s="20"/>
      <c r="AZ6" s="19"/>
      <c r="BA6" s="20" t="s">
        <v>1</v>
      </c>
      <c r="BB6" s="20" t="s">
        <v>2</v>
      </c>
      <c r="BC6" s="12"/>
    </row>
    <row r="7" spans="1:55" ht="12.75">
      <c r="A7" s="48" t="s">
        <v>70</v>
      </c>
      <c r="B7" s="48"/>
      <c r="C7" s="25"/>
      <c r="D7" s="19"/>
      <c r="E7" s="20"/>
      <c r="F7" s="20"/>
      <c r="G7" s="29"/>
      <c r="H7" s="19"/>
      <c r="I7" s="20"/>
      <c r="J7" s="20"/>
      <c r="K7" s="29"/>
      <c r="L7" s="19"/>
      <c r="M7" s="20"/>
      <c r="N7" s="20"/>
      <c r="O7" s="29"/>
      <c r="P7" s="19"/>
      <c r="Q7" s="20"/>
      <c r="R7" s="20"/>
      <c r="S7" s="29"/>
      <c r="T7" s="19"/>
      <c r="U7" s="20"/>
      <c r="V7" s="20"/>
      <c r="W7" s="29"/>
      <c r="X7" s="19"/>
      <c r="Y7" s="20"/>
      <c r="Z7" s="20"/>
      <c r="AA7" s="29"/>
      <c r="AB7" s="19"/>
      <c r="AC7" s="20"/>
      <c r="AD7" s="20"/>
      <c r="AE7" s="29"/>
      <c r="AF7" s="19"/>
      <c r="AG7" s="20"/>
      <c r="AH7" s="20"/>
      <c r="AI7" s="29"/>
      <c r="AJ7" s="19"/>
      <c r="AK7" s="20"/>
      <c r="AL7" s="20"/>
      <c r="AM7" s="29"/>
      <c r="AN7" s="19"/>
      <c r="AO7" s="20"/>
      <c r="AP7" s="20"/>
      <c r="AQ7" s="29"/>
      <c r="AR7" s="19"/>
      <c r="AS7" s="20"/>
      <c r="AT7" s="20"/>
      <c r="AU7" s="29"/>
      <c r="AV7" s="19"/>
      <c r="AW7" s="20"/>
      <c r="AX7" s="20"/>
      <c r="AY7" s="20"/>
      <c r="AZ7" s="33"/>
      <c r="BA7" s="15"/>
      <c r="BB7" s="15"/>
      <c r="BC7" s="12"/>
    </row>
    <row r="8" spans="1:55" ht="13.5" thickBot="1">
      <c r="A8" s="48" t="s">
        <v>71</v>
      </c>
      <c r="B8" s="25"/>
      <c r="C8" s="25"/>
      <c r="D8" s="38"/>
      <c r="E8" s="41"/>
      <c r="F8" s="41"/>
      <c r="G8" s="40"/>
      <c r="H8" s="38"/>
      <c r="K8" s="40"/>
      <c r="L8" s="38"/>
      <c r="O8" s="40"/>
      <c r="P8" s="38"/>
      <c r="S8" s="40"/>
      <c r="T8" s="38"/>
      <c r="W8" s="40"/>
      <c r="X8" s="38"/>
      <c r="AA8" s="40"/>
      <c r="AB8" s="38"/>
      <c r="AE8" s="40"/>
      <c r="AF8" s="38"/>
      <c r="AI8" s="40"/>
      <c r="AJ8" s="38"/>
      <c r="AM8" s="40"/>
      <c r="AN8" s="38"/>
      <c r="AQ8" s="40"/>
      <c r="AR8" s="38"/>
      <c r="AU8" s="40"/>
      <c r="AV8" s="38"/>
      <c r="AY8" s="39"/>
      <c r="AZ8" s="35"/>
      <c r="BA8" s="16"/>
      <c r="BB8" s="16"/>
      <c r="BC8" s="14"/>
    </row>
    <row r="9" spans="1:57" ht="12.75">
      <c r="A9" s="25"/>
      <c r="B9" s="50" t="s">
        <v>75</v>
      </c>
      <c r="C9" s="25"/>
      <c r="D9" s="31"/>
      <c r="E9" s="83"/>
      <c r="F9" s="32"/>
      <c r="G9" s="11"/>
      <c r="H9" s="93"/>
      <c r="I9" s="83"/>
      <c r="J9" s="32"/>
      <c r="K9" s="93"/>
      <c r="L9" s="31"/>
      <c r="M9" s="83"/>
      <c r="N9" s="32"/>
      <c r="O9" s="11"/>
      <c r="P9" s="93"/>
      <c r="Q9" s="83"/>
      <c r="R9" s="32"/>
      <c r="S9" s="93"/>
      <c r="T9" s="31"/>
      <c r="U9" s="83"/>
      <c r="V9" s="32"/>
      <c r="W9" s="11"/>
      <c r="X9" s="93"/>
      <c r="Y9" s="83"/>
      <c r="Z9" s="32"/>
      <c r="AA9" s="93"/>
      <c r="AB9" s="31"/>
      <c r="AC9" s="83"/>
      <c r="AD9" s="32"/>
      <c r="AE9" s="11"/>
      <c r="AF9" s="93"/>
      <c r="AG9" s="83"/>
      <c r="AH9" s="32"/>
      <c r="AI9" s="93"/>
      <c r="AJ9" s="31"/>
      <c r="AK9" s="83"/>
      <c r="AL9" s="32"/>
      <c r="AM9" s="11"/>
      <c r="AN9" s="93"/>
      <c r="AO9" s="83"/>
      <c r="AP9" s="32"/>
      <c r="AQ9" s="93"/>
      <c r="AR9" s="31"/>
      <c r="AS9" s="83"/>
      <c r="AT9" s="32"/>
      <c r="AU9" s="11"/>
      <c r="AV9" s="93"/>
      <c r="AW9" s="83"/>
      <c r="AX9" s="32"/>
      <c r="AY9" s="93"/>
      <c r="AZ9" s="44"/>
      <c r="BA9" s="32"/>
      <c r="BB9" s="32"/>
      <c r="BC9" s="45"/>
      <c r="BD9" s="25"/>
      <c r="BE9" s="25"/>
    </row>
    <row r="10" spans="1:57" ht="12.75">
      <c r="A10" s="25"/>
      <c r="B10" s="25"/>
      <c r="C10" s="25" t="s">
        <v>3</v>
      </c>
      <c r="D10" s="33"/>
      <c r="E10" s="5">
        <f>F$12-E$12-E$11</f>
        <v>874083.8520000001</v>
      </c>
      <c r="F10" s="6"/>
      <c r="G10" s="12"/>
      <c r="H10" s="15"/>
      <c r="I10" s="5">
        <f>J$12-I$12-I$11</f>
        <v>1490663.295</v>
      </c>
      <c r="J10" s="6"/>
      <c r="K10" s="15"/>
      <c r="L10" s="33"/>
      <c r="M10" s="5">
        <f>N$12-M$12-M$11</f>
        <v>13170.984492093006</v>
      </c>
      <c r="N10" s="6"/>
      <c r="O10" s="12"/>
      <c r="P10" s="15"/>
      <c r="Q10" s="5">
        <f>R$12-Q$12-Q$11</f>
        <v>1228516.966618949</v>
      </c>
      <c r="R10" s="6"/>
      <c r="S10" s="15"/>
      <c r="T10" s="33"/>
      <c r="U10" s="5">
        <f>V$12-U$12-U$11</f>
        <v>71527.42099999997</v>
      </c>
      <c r="V10" s="6"/>
      <c r="W10" s="12"/>
      <c r="X10" s="15"/>
      <c r="Y10" s="5">
        <f>Z$12-Y$12-Y$11</f>
        <v>287707</v>
      </c>
      <c r="Z10" s="6"/>
      <c r="AA10" s="15"/>
      <c r="AB10" s="33"/>
      <c r="AC10" s="5">
        <f>AD$12-AC$12-AC$11</f>
        <v>379351.149</v>
      </c>
      <c r="AD10" s="6"/>
      <c r="AE10" s="12"/>
      <c r="AF10" s="15"/>
      <c r="AG10" s="5">
        <f>AH$12-AG$12-AG$11</f>
        <v>17833</v>
      </c>
      <c r="AH10" s="6"/>
      <c r="AI10" s="15"/>
      <c r="AJ10" s="33"/>
      <c r="AK10" s="5">
        <f>AL$12-AK$12-AK$11</f>
        <v>5632815.148510001</v>
      </c>
      <c r="AL10" s="6"/>
      <c r="AM10" s="12"/>
      <c r="AN10" s="15"/>
      <c r="AO10" s="5">
        <f>AP$12-AO$12-AO$11</f>
        <v>5472575</v>
      </c>
      <c r="AP10" s="6"/>
      <c r="AQ10" s="15"/>
      <c r="AR10" s="33"/>
      <c r="AS10" s="5">
        <f>AT$12-AS$12-AS$11</f>
        <v>6572.9858</v>
      </c>
      <c r="AT10" s="6"/>
      <c r="AU10" s="12"/>
      <c r="AV10" s="15"/>
      <c r="AW10" s="5">
        <f>AX$12-AW$12-AW$11</f>
        <v>588870.5231300001</v>
      </c>
      <c r="AX10" s="6"/>
      <c r="AY10" s="15"/>
      <c r="AZ10" s="34"/>
      <c r="BA10" s="5">
        <f>BB$12-BA$12-BA$11</f>
        <v>16063687.325551044</v>
      </c>
      <c r="BB10" s="6"/>
      <c r="BC10" s="12"/>
      <c r="BD10" s="25"/>
      <c r="BE10" s="25"/>
    </row>
    <row r="11" spans="1:57" ht="12.75">
      <c r="A11" s="25"/>
      <c r="B11" s="25"/>
      <c r="C11" s="25" t="s">
        <v>4</v>
      </c>
      <c r="D11" s="33"/>
      <c r="E11" s="5">
        <f>'Allianz Suisse'!E13</f>
        <v>140398.034</v>
      </c>
      <c r="F11" s="6"/>
      <c r="G11" s="12"/>
      <c r="H11" s="15"/>
      <c r="I11" s="5">
        <f>Basler!E13</f>
        <v>210933.503</v>
      </c>
      <c r="J11" s="6"/>
      <c r="K11" s="15"/>
      <c r="L11" s="33"/>
      <c r="M11" s="5">
        <f>Generali!E13</f>
        <v>2035.2781449336376</v>
      </c>
      <c r="N11" s="6"/>
      <c r="O11" s="12"/>
      <c r="P11" s="15"/>
      <c r="Q11" s="5">
        <f>Helvetia!E13</f>
        <v>270661.0084405128</v>
      </c>
      <c r="R11" s="6"/>
      <c r="S11" s="15"/>
      <c r="T11" s="33"/>
      <c r="U11" s="5">
        <f>Mobiliar!E13</f>
        <v>306247.1228</v>
      </c>
      <c r="V11" s="6"/>
      <c r="W11" s="12"/>
      <c r="X11" s="15"/>
      <c r="Y11" s="5">
        <f>Nationale!E13</f>
        <v>31323</v>
      </c>
      <c r="Z11" s="6"/>
      <c r="AA11" s="15"/>
      <c r="AB11" s="33"/>
      <c r="AC11" s="5">
        <f>Pax!E13</f>
        <v>63540.851</v>
      </c>
      <c r="AD11" s="6"/>
      <c r="AE11" s="12"/>
      <c r="AF11" s="15"/>
      <c r="AG11" s="5">
        <f>Phenix!E13</f>
        <v>2130</v>
      </c>
      <c r="AH11" s="6"/>
      <c r="AI11" s="15"/>
      <c r="AJ11" s="33"/>
      <c r="AK11" s="5">
        <f>Rentenanstalt!E13</f>
        <v>884857.63548</v>
      </c>
      <c r="AL11" s="6"/>
      <c r="AM11" s="12"/>
      <c r="AN11" s="15"/>
      <c r="AO11" s="5">
        <f>Winterthur!E13</f>
        <v>818602</v>
      </c>
      <c r="AP11" s="6"/>
      <c r="AQ11" s="15"/>
      <c r="AR11" s="33"/>
      <c r="AS11" s="5">
        <f>Zenith!E13</f>
        <v>1271.3645999999999</v>
      </c>
      <c r="AT11" s="6"/>
      <c r="AU11" s="12"/>
      <c r="AV11" s="15"/>
      <c r="AW11" s="5">
        <f>Zuerich!E13</f>
        <v>330988.50983</v>
      </c>
      <c r="AX11" s="6"/>
      <c r="AY11" s="15"/>
      <c r="AZ11" s="34"/>
      <c r="BA11" s="5">
        <f>E11+I11+M11+Q11+U11+Y11+AC11+AG11+AK11+AO11+AS11+AW11</f>
        <v>3062988.3072954463</v>
      </c>
      <c r="BB11" s="6"/>
      <c r="BC11" s="12"/>
      <c r="BD11" s="25"/>
      <c r="BE11" s="25"/>
    </row>
    <row r="12" spans="1:57" ht="12.75">
      <c r="A12" s="25"/>
      <c r="B12" s="25"/>
      <c r="C12" s="25" t="s">
        <v>5</v>
      </c>
      <c r="D12" s="33"/>
      <c r="E12" s="5">
        <f>'Allianz Suisse'!E14</f>
        <v>51007.721999999994</v>
      </c>
      <c r="F12" s="3">
        <f>'Allianz Suisse'!F14</f>
        <v>1065489.608</v>
      </c>
      <c r="G12" s="12"/>
      <c r="H12" s="15"/>
      <c r="I12" s="5">
        <f>Basler!E14</f>
        <v>76123.398</v>
      </c>
      <c r="J12" s="3">
        <f>Basler!F14</f>
        <v>1777720.196</v>
      </c>
      <c r="K12" s="15"/>
      <c r="L12" s="33"/>
      <c r="M12" s="5">
        <f>Generali!E14</f>
        <v>1129.901162973358</v>
      </c>
      <c r="N12" s="3">
        <f>Generali!F14</f>
        <v>16336.163800000002</v>
      </c>
      <c r="O12" s="12"/>
      <c r="P12" s="15"/>
      <c r="Q12" s="5">
        <f>Helvetia!E14</f>
        <v>86305.96440053795</v>
      </c>
      <c r="R12" s="3">
        <f>Helvetia!F14</f>
        <v>1585483.93946</v>
      </c>
      <c r="S12" s="15"/>
      <c r="T12" s="33"/>
      <c r="U12" s="5">
        <f>Mobiliar!E14</f>
        <v>18355.5562</v>
      </c>
      <c r="V12" s="3">
        <f>Mobiliar!F14</f>
        <v>396130.1</v>
      </c>
      <c r="W12" s="12"/>
      <c r="X12" s="15"/>
      <c r="Y12" s="5">
        <f>Nationale!E14</f>
        <v>9985</v>
      </c>
      <c r="Z12" s="3">
        <f>Nationale!F14</f>
        <v>329015</v>
      </c>
      <c r="AA12" s="15"/>
      <c r="AB12" s="33"/>
      <c r="AC12" s="5">
        <f>Pax!E14</f>
        <v>22923</v>
      </c>
      <c r="AD12" s="3">
        <f>Pax!F14</f>
        <v>465815</v>
      </c>
      <c r="AE12" s="12"/>
      <c r="AF12" s="15"/>
      <c r="AG12" s="5">
        <f>Phenix!E14</f>
        <v>744</v>
      </c>
      <c r="AH12" s="3">
        <f>Phenix!F14</f>
        <v>20707</v>
      </c>
      <c r="AI12" s="15"/>
      <c r="AJ12" s="33"/>
      <c r="AK12" s="5">
        <f>Rentenanstalt!E14</f>
        <v>243392.09639</v>
      </c>
      <c r="AL12" s="3">
        <f>Rentenanstalt!F14</f>
        <v>6761064.88038</v>
      </c>
      <c r="AM12" s="12"/>
      <c r="AN12" s="15"/>
      <c r="AO12" s="5">
        <f>Winterthur!E14</f>
        <v>187868</v>
      </c>
      <c r="AP12" s="3">
        <f>Winterthur!F14</f>
        <v>6479045</v>
      </c>
      <c r="AQ12" s="15"/>
      <c r="AR12" s="33"/>
      <c r="AS12" s="5">
        <f>Zenith!E14</f>
        <v>110.9426</v>
      </c>
      <c r="AT12" s="3">
        <f>Zenith!F14</f>
        <v>7955.293000000001</v>
      </c>
      <c r="AU12" s="12"/>
      <c r="AV12" s="15"/>
      <c r="AW12" s="5">
        <f>Zuerich!E14</f>
        <v>87302.99083999998</v>
      </c>
      <c r="AX12" s="3">
        <f>Zuerich!F14</f>
        <v>1007162.0238000001</v>
      </c>
      <c r="AY12" s="15"/>
      <c r="AZ12" s="34"/>
      <c r="BA12" s="5">
        <f>E12+I12+M12+Q12+U12+Y12+AC12+AG12+AK12+AO12+AS12+AW12</f>
        <v>785248.5715935113</v>
      </c>
      <c r="BB12" s="3">
        <f>F12+J12+N12+R12+V12+Z12+AD12+AH12+AL12+AP12+AT12+AX12</f>
        <v>19911924.20444</v>
      </c>
      <c r="BC12" s="12"/>
      <c r="BD12" s="25"/>
      <c r="BE12" s="25"/>
    </row>
    <row r="13" spans="1:57" ht="12.75">
      <c r="A13" s="25"/>
      <c r="B13" s="50" t="s">
        <v>72</v>
      </c>
      <c r="C13" s="25"/>
      <c r="D13" s="33"/>
      <c r="E13" s="6"/>
      <c r="F13" s="6"/>
      <c r="G13" s="12"/>
      <c r="H13" s="15"/>
      <c r="I13" s="6"/>
      <c r="J13" s="6"/>
      <c r="K13" s="15"/>
      <c r="L13" s="33"/>
      <c r="M13" s="6"/>
      <c r="N13" s="6"/>
      <c r="O13" s="12"/>
      <c r="P13" s="15"/>
      <c r="Q13" s="6"/>
      <c r="R13" s="6"/>
      <c r="S13" s="15"/>
      <c r="T13" s="33"/>
      <c r="U13" s="6"/>
      <c r="V13" s="6"/>
      <c r="W13" s="12"/>
      <c r="X13" s="15"/>
      <c r="Y13" s="6"/>
      <c r="Z13" s="6"/>
      <c r="AA13" s="15"/>
      <c r="AB13" s="33"/>
      <c r="AC13" s="6"/>
      <c r="AD13" s="6"/>
      <c r="AE13" s="12"/>
      <c r="AF13" s="15"/>
      <c r="AG13" s="6"/>
      <c r="AH13" s="6"/>
      <c r="AI13" s="15"/>
      <c r="AJ13" s="33"/>
      <c r="AK13" s="6"/>
      <c r="AL13" s="6"/>
      <c r="AM13" s="12"/>
      <c r="AN13" s="15"/>
      <c r="AO13" s="6"/>
      <c r="AP13" s="6"/>
      <c r="AQ13" s="15"/>
      <c r="AR13" s="33"/>
      <c r="AS13" s="6"/>
      <c r="AT13" s="6"/>
      <c r="AU13" s="12"/>
      <c r="AV13" s="15"/>
      <c r="AW13" s="6"/>
      <c r="AX13" s="6"/>
      <c r="AY13" s="15"/>
      <c r="AZ13" s="34"/>
      <c r="BA13" s="6"/>
      <c r="BB13" s="6"/>
      <c r="BC13" s="12"/>
      <c r="BD13" s="25"/>
      <c r="BE13" s="25"/>
    </row>
    <row r="14" spans="1:57" ht="12.75">
      <c r="A14" s="25"/>
      <c r="B14" s="25"/>
      <c r="C14" s="25" t="s">
        <v>72</v>
      </c>
      <c r="D14" s="33"/>
      <c r="E14" s="5">
        <f>'Allianz Suisse'!E16</f>
        <v>238736.75400000002</v>
      </c>
      <c r="F14" s="6"/>
      <c r="G14" s="12"/>
      <c r="H14" s="15"/>
      <c r="I14" s="5">
        <f>Basler!E16</f>
        <v>514914.91800000006</v>
      </c>
      <c r="J14" s="6"/>
      <c r="K14" s="15"/>
      <c r="L14" s="33"/>
      <c r="M14" s="5">
        <f>Generali!E16</f>
        <v>14313.890409999998</v>
      </c>
      <c r="N14" s="6"/>
      <c r="O14" s="12"/>
      <c r="P14" s="15"/>
      <c r="Q14" s="5">
        <f>Helvetia!E16</f>
        <v>345953.8950399999</v>
      </c>
      <c r="R14" s="6"/>
      <c r="S14" s="15"/>
      <c r="T14" s="33"/>
      <c r="U14" s="5">
        <f>Mobiliar!E16</f>
        <v>44860.3</v>
      </c>
      <c r="V14" s="6"/>
      <c r="W14" s="12"/>
      <c r="X14" s="15"/>
      <c r="Y14" s="5">
        <f>Nationale!E16</f>
        <v>54077</v>
      </c>
      <c r="Z14" s="6"/>
      <c r="AA14" s="15"/>
      <c r="AB14" s="33"/>
      <c r="AC14" s="5">
        <f>Pax!E16</f>
        <v>73305</v>
      </c>
      <c r="AD14" s="6"/>
      <c r="AE14" s="12"/>
      <c r="AF14" s="15"/>
      <c r="AG14" s="5">
        <f>Phenix!E16</f>
        <v>3781</v>
      </c>
      <c r="AH14" s="6"/>
      <c r="AI14" s="15"/>
      <c r="AJ14" s="33"/>
      <c r="AK14" s="5">
        <f>Rentenanstalt!E16</f>
        <v>1542987.5421400005</v>
      </c>
      <c r="AL14" s="6"/>
      <c r="AM14" s="12"/>
      <c r="AN14" s="15"/>
      <c r="AO14" s="5">
        <f>Winterthur!E16</f>
        <v>1396084</v>
      </c>
      <c r="AP14" s="6"/>
      <c r="AQ14" s="15"/>
      <c r="AR14" s="33"/>
      <c r="AS14" s="5">
        <f>Zenith!E16</f>
        <v>2002</v>
      </c>
      <c r="AT14" s="6"/>
      <c r="AU14" s="12"/>
      <c r="AV14" s="15"/>
      <c r="AW14" s="5">
        <f>Zuerich!E16</f>
        <v>352700.2408700001</v>
      </c>
      <c r="AX14" s="6"/>
      <c r="AY14" s="15"/>
      <c r="AZ14" s="34"/>
      <c r="BA14" s="5">
        <f>E14+I14+M14+Q14+U14+Y14+AC14+AG14+AK14+AO14+AS14+AW14</f>
        <v>4583716.540460001</v>
      </c>
      <c r="BB14" s="6"/>
      <c r="BC14" s="12"/>
      <c r="BD14" s="25"/>
      <c r="BE14" s="25"/>
    </row>
    <row r="15" spans="1:55" ht="12.75">
      <c r="A15" s="25"/>
      <c r="B15" s="25"/>
      <c r="C15" s="25" t="s">
        <v>73</v>
      </c>
      <c r="D15" s="33"/>
      <c r="E15" s="5">
        <f>'Allianz Suisse'!E17</f>
        <v>0</v>
      </c>
      <c r="F15" s="6"/>
      <c r="G15" s="12"/>
      <c r="H15" s="15"/>
      <c r="I15" s="5">
        <f>Basler!E17</f>
        <v>1260.477</v>
      </c>
      <c r="J15" s="6"/>
      <c r="K15" s="15"/>
      <c r="L15" s="33"/>
      <c r="M15" s="5">
        <f>Generali!E17</f>
        <v>862.0033599999999</v>
      </c>
      <c r="N15" s="6"/>
      <c r="O15" s="12"/>
      <c r="P15" s="15"/>
      <c r="Q15" s="5">
        <f>Helvetia!E17</f>
        <v>6711.999679999999</v>
      </c>
      <c r="R15" s="6"/>
      <c r="S15" s="15"/>
      <c r="T15" s="33"/>
      <c r="U15" s="5">
        <f>Mobiliar!E17</f>
        <v>6.6</v>
      </c>
      <c r="V15" s="6"/>
      <c r="W15" s="12"/>
      <c r="X15" s="15"/>
      <c r="Y15" s="5">
        <f>Nationale!E17</f>
        <v>2237</v>
      </c>
      <c r="Z15" s="6"/>
      <c r="AA15" s="15"/>
      <c r="AB15" s="33"/>
      <c r="AC15" s="5">
        <f>Pax!E17</f>
        <v>0</v>
      </c>
      <c r="AD15" s="6"/>
      <c r="AE15" s="12"/>
      <c r="AF15" s="15"/>
      <c r="AG15" s="5">
        <f>Phenix!E17</f>
        <v>50</v>
      </c>
      <c r="AH15" s="6"/>
      <c r="AI15" s="15"/>
      <c r="AJ15" s="33"/>
      <c r="AK15" s="5">
        <f>Rentenanstalt!E17</f>
        <v>393.96059</v>
      </c>
      <c r="AL15" s="6"/>
      <c r="AM15" s="12"/>
      <c r="AN15" s="15"/>
      <c r="AO15" s="5">
        <f>Winterthur!E17</f>
        <v>35542</v>
      </c>
      <c r="AP15" s="6"/>
      <c r="AQ15" s="15"/>
      <c r="AR15" s="33"/>
      <c r="AS15" s="5">
        <f>Zenith!E17</f>
        <v>728</v>
      </c>
      <c r="AT15" s="6"/>
      <c r="AU15" s="12"/>
      <c r="AV15" s="15"/>
      <c r="AW15" s="5">
        <f>Zuerich!E17</f>
        <v>4153.91611</v>
      </c>
      <c r="AX15" s="6"/>
      <c r="AY15" s="15"/>
      <c r="AZ15" s="34"/>
      <c r="BA15" s="5">
        <f>E15+I15+M15+Q15+U15+Y15+AC15+AG15+AK15+AO15+AS15+AW15</f>
        <v>51945.95674</v>
      </c>
      <c r="BB15" s="6"/>
      <c r="BC15" s="12"/>
    </row>
    <row r="16" spans="1:55" ht="12.75">
      <c r="A16" s="25"/>
      <c r="B16" s="25"/>
      <c r="C16" s="25" t="s">
        <v>74</v>
      </c>
      <c r="D16" s="33"/>
      <c r="E16" s="5">
        <f>'Allianz Suisse'!E18</f>
        <v>22740.754999999997</v>
      </c>
      <c r="F16" s="3">
        <f>E$14-E$15-E$16</f>
        <v>215995.999</v>
      </c>
      <c r="G16" s="12"/>
      <c r="H16" s="15"/>
      <c r="I16" s="5">
        <f>Basler!E18</f>
        <v>40457.395</v>
      </c>
      <c r="J16" s="3">
        <f>I$14-I$15-I$16</f>
        <v>473197.04600000003</v>
      </c>
      <c r="K16" s="15"/>
      <c r="L16" s="33"/>
      <c r="M16" s="5">
        <f>Generali!E18</f>
        <v>2108.6945</v>
      </c>
      <c r="N16" s="3">
        <f>M$14-M$15-M$16</f>
        <v>11343.192549999998</v>
      </c>
      <c r="O16" s="12"/>
      <c r="P16" s="15"/>
      <c r="Q16" s="5">
        <f>Helvetia!E18</f>
        <v>32267.184114</v>
      </c>
      <c r="R16" s="3">
        <f>Q$14-Q$15-Q$16</f>
        <v>306974.7112459999</v>
      </c>
      <c r="S16" s="15"/>
      <c r="T16" s="33"/>
      <c r="U16" s="5">
        <f>Mobiliar!E18</f>
        <v>3042.8</v>
      </c>
      <c r="V16" s="3">
        <f>U$14-U$15-U$16</f>
        <v>41810.9</v>
      </c>
      <c r="W16" s="12"/>
      <c r="X16" s="15"/>
      <c r="Y16" s="5">
        <f>Nationale!E18</f>
        <v>4932</v>
      </c>
      <c r="Z16" s="3">
        <f>Y$14-Y$15-Y$16</f>
        <v>46908</v>
      </c>
      <c r="AA16" s="15"/>
      <c r="AB16" s="33"/>
      <c r="AC16" s="5">
        <f>Pax!E18</f>
        <v>6573.071</v>
      </c>
      <c r="AD16" s="3">
        <f>AC$14-AC$15-AC$16</f>
        <v>66731.929</v>
      </c>
      <c r="AE16" s="12"/>
      <c r="AF16" s="15"/>
      <c r="AG16" s="5">
        <f>Phenix!E18</f>
        <v>167</v>
      </c>
      <c r="AH16" s="3">
        <f>AG$14-AG$15-AG$16</f>
        <v>3564</v>
      </c>
      <c r="AI16" s="15"/>
      <c r="AJ16" s="33"/>
      <c r="AK16" s="5">
        <f>Rentenanstalt!E18</f>
        <v>88286.02312999999</v>
      </c>
      <c r="AL16" s="3">
        <f>AK$14-AK$15-AK$16</f>
        <v>1454307.5584200006</v>
      </c>
      <c r="AM16" s="12"/>
      <c r="AN16" s="15"/>
      <c r="AO16" s="5">
        <f>Winterthur!E18</f>
        <v>109708</v>
      </c>
      <c r="AP16" s="3">
        <f>AO$14-AO$15-AO$16</f>
        <v>1250834</v>
      </c>
      <c r="AQ16" s="15"/>
      <c r="AR16" s="33"/>
      <c r="AS16" s="5">
        <f>Zenith!E18</f>
        <v>276</v>
      </c>
      <c r="AT16" s="3">
        <f>AS$14-AS$15-AS$16</f>
        <v>998</v>
      </c>
      <c r="AU16" s="12"/>
      <c r="AV16" s="15"/>
      <c r="AW16" s="5">
        <f>Zuerich!E18</f>
        <v>6305.11536</v>
      </c>
      <c r="AX16" s="3">
        <f>AW$14-AW$15-AW$16</f>
        <v>342241.2094000001</v>
      </c>
      <c r="AY16" s="15"/>
      <c r="AZ16" s="34"/>
      <c r="BA16" s="5">
        <f>E16+I16+M16+Q16+U16+Y16+AC16+AG16+AK16+AO16+AS16+AW16</f>
        <v>316864.038104</v>
      </c>
      <c r="BB16" s="3">
        <f>BA$14-BA$15-BA$16</f>
        <v>4214906.545616001</v>
      </c>
      <c r="BC16" s="12"/>
    </row>
    <row r="17" spans="1:55" ht="12.75">
      <c r="A17" s="25"/>
      <c r="B17" s="25" t="s">
        <v>76</v>
      </c>
      <c r="C17" s="25"/>
      <c r="D17" s="33"/>
      <c r="E17" s="15"/>
      <c r="F17" s="3">
        <f>'Allianz Suisse'!F19</f>
        <v>8721.228</v>
      </c>
      <c r="G17" s="12"/>
      <c r="H17" s="15"/>
      <c r="I17" s="15"/>
      <c r="J17" s="3">
        <f>Basler!F19</f>
        <v>0</v>
      </c>
      <c r="K17" s="15"/>
      <c r="L17" s="33"/>
      <c r="M17" s="15"/>
      <c r="N17" s="3">
        <f>Generali!F19</f>
        <v>0</v>
      </c>
      <c r="O17" s="12"/>
      <c r="P17" s="15"/>
      <c r="Q17" s="15"/>
      <c r="R17" s="3">
        <f>Helvetia!F19</f>
        <v>5190.53116</v>
      </c>
      <c r="S17" s="15"/>
      <c r="T17" s="33"/>
      <c r="U17" s="15"/>
      <c r="V17" s="3">
        <f>Mobiliar!F19</f>
        <v>892.1</v>
      </c>
      <c r="W17" s="12"/>
      <c r="X17" s="15"/>
      <c r="Y17" s="15"/>
      <c r="Z17" s="3">
        <f>Nationale!F19</f>
        <v>643</v>
      </c>
      <c r="AA17" s="15"/>
      <c r="AB17" s="33"/>
      <c r="AC17" s="15"/>
      <c r="AD17" s="3">
        <f>Pax!F19</f>
        <v>1995</v>
      </c>
      <c r="AE17" s="12"/>
      <c r="AF17" s="15"/>
      <c r="AG17" s="15"/>
      <c r="AH17" s="3">
        <f>Phenix!F19</f>
        <v>0</v>
      </c>
      <c r="AI17" s="15"/>
      <c r="AJ17" s="33"/>
      <c r="AK17" s="15"/>
      <c r="AL17" s="3">
        <f>Rentenanstalt!F19</f>
        <v>38336.68520000001</v>
      </c>
      <c r="AM17" s="12"/>
      <c r="AN17" s="15"/>
      <c r="AO17" s="15"/>
      <c r="AP17" s="3">
        <f>Winterthur!F19</f>
        <v>7</v>
      </c>
      <c r="AQ17" s="15"/>
      <c r="AR17" s="33"/>
      <c r="AS17" s="15"/>
      <c r="AT17" s="3">
        <f>Zenith!F19</f>
        <v>108.72439999999999</v>
      </c>
      <c r="AU17" s="12"/>
      <c r="AV17" s="15"/>
      <c r="AW17" s="15"/>
      <c r="AX17" s="3">
        <f>Zuerich!F19</f>
        <v>1743.7717</v>
      </c>
      <c r="AY17" s="15"/>
      <c r="AZ17" s="34"/>
      <c r="BA17" s="6"/>
      <c r="BB17" s="3">
        <f>F17+J17+N17+R17+V17+Z17+AD17+AH17+AL17+AP17+AT17+AX17</f>
        <v>57638.040460000004</v>
      </c>
      <c r="BC17" s="12"/>
    </row>
    <row r="18" spans="1:55" ht="13.5" thickBot="1">
      <c r="A18" s="25"/>
      <c r="B18" s="25" t="s">
        <v>77</v>
      </c>
      <c r="C18" s="25"/>
      <c r="D18" s="33"/>
      <c r="E18" s="6"/>
      <c r="F18" s="54">
        <f>'Allianz Suisse'!F20</f>
        <v>-2047.2110000000014</v>
      </c>
      <c r="G18" s="12"/>
      <c r="H18" s="15"/>
      <c r="I18" s="6"/>
      <c r="J18" s="54">
        <f>Basler!F20</f>
        <v>-5907.04</v>
      </c>
      <c r="K18" s="15"/>
      <c r="L18" s="33"/>
      <c r="M18" s="6"/>
      <c r="N18" s="54">
        <f>Generali!F20</f>
        <v>1675.5406799999998</v>
      </c>
      <c r="O18" s="12"/>
      <c r="P18" s="15"/>
      <c r="Q18" s="6"/>
      <c r="R18" s="54">
        <f>Helvetia!F20</f>
        <v>-9172.580850000002</v>
      </c>
      <c r="S18" s="15"/>
      <c r="T18" s="33"/>
      <c r="U18" s="6"/>
      <c r="V18" s="54">
        <f>Mobiliar!F20</f>
        <v>-2383.2</v>
      </c>
      <c r="W18" s="12"/>
      <c r="X18" s="15"/>
      <c r="Y18" s="6"/>
      <c r="Z18" s="54">
        <f>Nationale!F20</f>
        <v>-791</v>
      </c>
      <c r="AA18" s="15"/>
      <c r="AB18" s="33"/>
      <c r="AC18" s="6"/>
      <c r="AD18" s="54">
        <f>Pax!F20</f>
        <v>-2953</v>
      </c>
      <c r="AE18" s="12"/>
      <c r="AF18" s="15"/>
      <c r="AG18" s="6"/>
      <c r="AH18" s="54">
        <f>Phenix!F20</f>
        <v>-284</v>
      </c>
      <c r="AI18" s="15"/>
      <c r="AJ18" s="33"/>
      <c r="AK18" s="6"/>
      <c r="AL18" s="54">
        <f>Rentenanstalt!F20</f>
        <v>1701.0811400000002</v>
      </c>
      <c r="AM18" s="12"/>
      <c r="AN18" s="15"/>
      <c r="AO18" s="6"/>
      <c r="AP18" s="54">
        <f>Winterthur!F20</f>
        <v>-11003</v>
      </c>
      <c r="AQ18" s="15"/>
      <c r="AR18" s="33"/>
      <c r="AS18" s="6"/>
      <c r="AT18" s="54">
        <f>Zenith!F20</f>
        <v>-290.10726345703154</v>
      </c>
      <c r="AU18" s="12"/>
      <c r="AV18" s="15"/>
      <c r="AW18" s="6"/>
      <c r="AX18" s="54">
        <f>Zuerich!F20</f>
        <v>-10421.24313</v>
      </c>
      <c r="AY18" s="15"/>
      <c r="AZ18" s="34"/>
      <c r="BA18" s="6"/>
      <c r="BB18" s="54">
        <f>F18+J18+N18+R18+V18+Z18+AD18+AH18+AL18+AP18+AT18+AX18</f>
        <v>-41875.76042345704</v>
      </c>
      <c r="BC18" s="12"/>
    </row>
    <row r="19" spans="1:55" ht="13.5" thickBot="1">
      <c r="A19" s="25"/>
      <c r="B19" s="47" t="s">
        <v>78</v>
      </c>
      <c r="C19" s="25"/>
      <c r="D19" s="33"/>
      <c r="E19" s="6"/>
      <c r="F19" s="55">
        <f>F$12+F$16+F$17+F$18</f>
        <v>1288159.624</v>
      </c>
      <c r="G19" s="12"/>
      <c r="H19" s="15"/>
      <c r="I19" s="6"/>
      <c r="J19" s="55">
        <f>J$12+J$16+J$17+J$18</f>
        <v>2245010.202</v>
      </c>
      <c r="K19" s="15"/>
      <c r="L19" s="33"/>
      <c r="M19" s="6"/>
      <c r="N19" s="55">
        <f>N$12+N$16+N$17+N$18</f>
        <v>29354.89703</v>
      </c>
      <c r="O19" s="12"/>
      <c r="P19" s="15"/>
      <c r="Q19" s="6"/>
      <c r="R19" s="55">
        <f>R$12+R$16+R$17+R$18</f>
        <v>1888476.601016</v>
      </c>
      <c r="S19" s="15"/>
      <c r="T19" s="33"/>
      <c r="U19" s="6"/>
      <c r="V19" s="55">
        <f>V$12+V$16+V$17+V$18</f>
        <v>436449.89999999997</v>
      </c>
      <c r="W19" s="12"/>
      <c r="X19" s="15"/>
      <c r="Y19" s="6"/>
      <c r="Z19" s="55">
        <f>Z$12+Z$16+Z$17+Z$18</f>
        <v>375775</v>
      </c>
      <c r="AA19" s="15"/>
      <c r="AB19" s="33"/>
      <c r="AC19" s="6"/>
      <c r="AD19" s="55">
        <f>AD$12+AD$16+AD$17+AD$18</f>
        <v>531588.929</v>
      </c>
      <c r="AE19" s="12"/>
      <c r="AF19" s="15"/>
      <c r="AG19" s="6"/>
      <c r="AH19" s="55">
        <f>AH$12+AH$16+AH$17+AH$18</f>
        <v>23987</v>
      </c>
      <c r="AI19" s="15"/>
      <c r="AJ19" s="33"/>
      <c r="AK19" s="6"/>
      <c r="AL19" s="55">
        <f>AL$12+AL$16+AL$17+AL$18</f>
        <v>8255410.205140001</v>
      </c>
      <c r="AM19" s="12"/>
      <c r="AN19" s="15"/>
      <c r="AO19" s="6"/>
      <c r="AP19" s="55">
        <f>AP$12+AP$16+AP$17+AP$18</f>
        <v>7718883</v>
      </c>
      <c r="AQ19" s="15"/>
      <c r="AR19" s="33"/>
      <c r="AS19" s="6"/>
      <c r="AT19" s="55">
        <f>AT$12+AT$16+AT$17+AT$18</f>
        <v>8771.910136542969</v>
      </c>
      <c r="AU19" s="12"/>
      <c r="AV19" s="15"/>
      <c r="AW19" s="6"/>
      <c r="AX19" s="55">
        <f>AX$12+AX$16+AX$17+AX$18</f>
        <v>1340725.76177</v>
      </c>
      <c r="AY19" s="15"/>
      <c r="AZ19" s="34"/>
      <c r="BA19" s="6"/>
      <c r="BB19" s="55">
        <f>BB$12+BB$16+BB$17+BB$18</f>
        <v>24142593.03009255</v>
      </c>
      <c r="BC19" s="12"/>
    </row>
    <row r="20" spans="1:55" ht="12.75">
      <c r="A20" s="25"/>
      <c r="B20" s="25"/>
      <c r="C20" s="25"/>
      <c r="D20" s="33"/>
      <c r="E20" s="6"/>
      <c r="F20" s="15"/>
      <c r="G20" s="12"/>
      <c r="H20" s="15"/>
      <c r="I20" s="6"/>
      <c r="J20" s="15"/>
      <c r="K20" s="15"/>
      <c r="L20" s="33"/>
      <c r="M20" s="6"/>
      <c r="N20" s="15"/>
      <c r="O20" s="12"/>
      <c r="P20" s="15"/>
      <c r="Q20" s="6"/>
      <c r="R20" s="15"/>
      <c r="S20" s="15"/>
      <c r="T20" s="33"/>
      <c r="U20" s="6"/>
      <c r="V20" s="15"/>
      <c r="W20" s="12"/>
      <c r="X20" s="15"/>
      <c r="Y20" s="6"/>
      <c r="Z20" s="15"/>
      <c r="AA20" s="15"/>
      <c r="AB20" s="33"/>
      <c r="AC20" s="6"/>
      <c r="AD20" s="15"/>
      <c r="AE20" s="12"/>
      <c r="AF20" s="15"/>
      <c r="AG20" s="6"/>
      <c r="AH20" s="15"/>
      <c r="AI20" s="15"/>
      <c r="AJ20" s="33"/>
      <c r="AK20" s="6"/>
      <c r="AL20" s="15"/>
      <c r="AM20" s="12"/>
      <c r="AN20" s="15"/>
      <c r="AO20" s="6"/>
      <c r="AP20" s="15"/>
      <c r="AQ20" s="15"/>
      <c r="AR20" s="33"/>
      <c r="AS20" s="6"/>
      <c r="AT20" s="15"/>
      <c r="AU20" s="12"/>
      <c r="AV20" s="15"/>
      <c r="AW20" s="6"/>
      <c r="AX20" s="15"/>
      <c r="AY20" s="15"/>
      <c r="AZ20" s="34"/>
      <c r="BA20" s="6"/>
      <c r="BB20" s="6"/>
      <c r="BC20" s="12"/>
    </row>
    <row r="21" spans="1:55" ht="12.75">
      <c r="A21" s="48" t="s">
        <v>79</v>
      </c>
      <c r="B21" s="25"/>
      <c r="C21" s="25"/>
      <c r="D21" s="33"/>
      <c r="E21" s="6"/>
      <c r="F21" s="6"/>
      <c r="G21" s="12"/>
      <c r="H21" s="15"/>
      <c r="I21" s="6"/>
      <c r="J21" s="6"/>
      <c r="K21" s="15"/>
      <c r="L21" s="33"/>
      <c r="M21" s="6"/>
      <c r="N21" s="6"/>
      <c r="O21" s="12"/>
      <c r="P21" s="15"/>
      <c r="Q21" s="6"/>
      <c r="R21" s="6"/>
      <c r="S21" s="15"/>
      <c r="T21" s="33"/>
      <c r="U21" s="6"/>
      <c r="V21" s="6"/>
      <c r="W21" s="12"/>
      <c r="X21" s="15"/>
      <c r="Y21" s="6"/>
      <c r="Z21" s="6"/>
      <c r="AA21" s="15"/>
      <c r="AB21" s="33"/>
      <c r="AC21" s="6"/>
      <c r="AD21" s="6"/>
      <c r="AE21" s="12"/>
      <c r="AF21" s="15"/>
      <c r="AG21" s="6"/>
      <c r="AH21" s="6"/>
      <c r="AI21" s="15"/>
      <c r="AJ21" s="33"/>
      <c r="AK21" s="6"/>
      <c r="AL21" s="6"/>
      <c r="AM21" s="12"/>
      <c r="AN21" s="15"/>
      <c r="AO21" s="6"/>
      <c r="AP21" s="6"/>
      <c r="AQ21" s="15"/>
      <c r="AR21" s="33"/>
      <c r="AS21" s="6"/>
      <c r="AT21" s="6"/>
      <c r="AU21" s="12"/>
      <c r="AV21" s="15"/>
      <c r="AW21" s="6"/>
      <c r="AX21" s="6"/>
      <c r="AY21" s="15"/>
      <c r="AZ21" s="34"/>
      <c r="BA21" s="6"/>
      <c r="BB21" s="6"/>
      <c r="BC21" s="12"/>
    </row>
    <row r="22" spans="1:55" ht="12.75">
      <c r="A22" s="25"/>
      <c r="B22" s="50" t="s">
        <v>6</v>
      </c>
      <c r="C22" s="25"/>
      <c r="D22" s="33"/>
      <c r="E22" s="6"/>
      <c r="F22" s="6"/>
      <c r="G22" s="12"/>
      <c r="H22" s="15"/>
      <c r="I22" s="6"/>
      <c r="J22" s="6"/>
      <c r="K22" s="15"/>
      <c r="L22" s="33"/>
      <c r="M22" s="6"/>
      <c r="N22" s="6"/>
      <c r="O22" s="12"/>
      <c r="P22" s="15"/>
      <c r="Q22" s="6"/>
      <c r="R22" s="6"/>
      <c r="S22" s="15"/>
      <c r="T22" s="33"/>
      <c r="U22" s="6"/>
      <c r="V22" s="6"/>
      <c r="W22" s="12"/>
      <c r="X22" s="15"/>
      <c r="Y22" s="6"/>
      <c r="Z22" s="6"/>
      <c r="AA22" s="15"/>
      <c r="AB22" s="33"/>
      <c r="AC22" s="6"/>
      <c r="AD22" s="6"/>
      <c r="AE22" s="12"/>
      <c r="AF22" s="15"/>
      <c r="AG22" s="6"/>
      <c r="AH22" s="6"/>
      <c r="AI22" s="15"/>
      <c r="AJ22" s="33"/>
      <c r="AK22" s="6"/>
      <c r="AL22" s="6"/>
      <c r="AM22" s="12"/>
      <c r="AN22" s="15"/>
      <c r="AO22" s="6"/>
      <c r="AP22" s="6"/>
      <c r="AQ22" s="15"/>
      <c r="AR22" s="33"/>
      <c r="AS22" s="6"/>
      <c r="AT22" s="6"/>
      <c r="AU22" s="12"/>
      <c r="AV22" s="15"/>
      <c r="AW22" s="6"/>
      <c r="AX22" s="6"/>
      <c r="AY22" s="15"/>
      <c r="AZ22" s="34"/>
      <c r="BA22" s="6"/>
      <c r="BB22" s="6"/>
      <c r="BC22" s="12"/>
    </row>
    <row r="23" spans="1:55" ht="12.75">
      <c r="A23" s="25"/>
      <c r="B23" s="25"/>
      <c r="C23" s="25" t="s">
        <v>7</v>
      </c>
      <c r="D23" s="33"/>
      <c r="E23" s="5">
        <f>'Allianz Suisse'!E25</f>
        <v>218152.238</v>
      </c>
      <c r="F23" s="6"/>
      <c r="G23" s="12"/>
      <c r="H23" s="15"/>
      <c r="I23" s="5">
        <f>Basler!E25</f>
        <v>397156.919</v>
      </c>
      <c r="J23" s="6"/>
      <c r="K23" s="15"/>
      <c r="L23" s="33"/>
      <c r="M23" s="5">
        <f>Generali!E25</f>
        <v>32583.864980000002</v>
      </c>
      <c r="N23" s="6"/>
      <c r="O23" s="12"/>
      <c r="P23" s="15"/>
      <c r="Q23" s="5">
        <f>Helvetia!E25</f>
        <v>415571.31843</v>
      </c>
      <c r="R23" s="6"/>
      <c r="S23" s="15"/>
      <c r="T23" s="33"/>
      <c r="U23" s="5">
        <f>Mobiliar!E25</f>
        <v>113076.2</v>
      </c>
      <c r="V23" s="6"/>
      <c r="W23" s="12"/>
      <c r="X23" s="15"/>
      <c r="Y23" s="5">
        <f>Nationale!E25</f>
        <v>57807</v>
      </c>
      <c r="Z23" s="6"/>
      <c r="AA23" s="15"/>
      <c r="AB23" s="33"/>
      <c r="AC23" s="5">
        <f>Pax!E25</f>
        <v>85804</v>
      </c>
      <c r="AD23" s="6"/>
      <c r="AE23" s="12"/>
      <c r="AF23" s="15"/>
      <c r="AG23" s="5">
        <f>Phenix!E25</f>
        <v>2089</v>
      </c>
      <c r="AH23" s="6"/>
      <c r="AI23" s="15"/>
      <c r="AJ23" s="33"/>
      <c r="AK23" s="5">
        <f>Rentenanstalt!E25</f>
        <v>1877623.3215599998</v>
      </c>
      <c r="AL23" s="6"/>
      <c r="AM23" s="12"/>
      <c r="AN23" s="15"/>
      <c r="AO23" s="5">
        <f>Winterthur!E25</f>
        <v>1048941</v>
      </c>
      <c r="AP23" s="6"/>
      <c r="AQ23" s="15"/>
      <c r="AR23" s="33"/>
      <c r="AS23" s="5">
        <f>Zenith!E25</f>
        <v>2392.255</v>
      </c>
      <c r="AT23" s="6"/>
      <c r="AU23" s="12"/>
      <c r="AV23" s="15"/>
      <c r="AW23" s="5">
        <f>Zuerich!E25</f>
        <v>454232.79523</v>
      </c>
      <c r="AX23" s="6"/>
      <c r="AY23" s="15"/>
      <c r="AZ23" s="34"/>
      <c r="BA23" s="5">
        <f>E23+I23+M23+Q23+U23+Y23+AC23+AG23+AK23+AO23+AS23+AW23</f>
        <v>4705429.9122</v>
      </c>
      <c r="BB23" s="6"/>
      <c r="BC23" s="12"/>
    </row>
    <row r="24" spans="1:55" ht="12.75">
      <c r="A24" s="25"/>
      <c r="B24" s="25"/>
      <c r="C24" s="25" t="s">
        <v>8</v>
      </c>
      <c r="D24" s="33"/>
      <c r="E24" s="5">
        <f>'Allianz Suisse'!E26</f>
        <v>460018.392</v>
      </c>
      <c r="F24" s="6"/>
      <c r="G24" s="12"/>
      <c r="H24" s="15"/>
      <c r="I24" s="5">
        <f>Basler!E26</f>
        <v>779174.463</v>
      </c>
      <c r="J24" s="6"/>
      <c r="K24" s="15"/>
      <c r="L24" s="33"/>
      <c r="M24" s="5">
        <f>Generali!E26</f>
        <v>92759.492</v>
      </c>
      <c r="N24" s="6"/>
      <c r="O24" s="12"/>
      <c r="P24" s="15"/>
      <c r="Q24" s="5">
        <f>Helvetia!E26</f>
        <v>625672.0341099999</v>
      </c>
      <c r="R24" s="6"/>
      <c r="S24" s="15"/>
      <c r="T24" s="33"/>
      <c r="U24" s="5">
        <f>Mobiliar!E26</f>
        <v>0</v>
      </c>
      <c r="V24" s="6"/>
      <c r="W24" s="12"/>
      <c r="X24" s="15"/>
      <c r="Y24" s="5">
        <f>Nationale!E26</f>
        <v>107149</v>
      </c>
      <c r="Z24" s="6"/>
      <c r="AA24" s="15"/>
      <c r="AB24" s="33"/>
      <c r="AC24" s="5">
        <f>Pax!E26</f>
        <v>238886</v>
      </c>
      <c r="AD24" s="6"/>
      <c r="AE24" s="12"/>
      <c r="AF24" s="15"/>
      <c r="AG24" s="5">
        <f>Phenix!E26</f>
        <v>6790</v>
      </c>
      <c r="AH24" s="6"/>
      <c r="AI24" s="15"/>
      <c r="AJ24" s="33"/>
      <c r="AK24" s="5">
        <f>Rentenanstalt!E26</f>
        <v>2485041.35148</v>
      </c>
      <c r="AL24" s="6"/>
      <c r="AM24" s="12"/>
      <c r="AN24" s="15"/>
      <c r="AO24" s="5">
        <f>Winterthur!E26</f>
        <v>3806455</v>
      </c>
      <c r="AP24" s="6"/>
      <c r="AQ24" s="15"/>
      <c r="AR24" s="33"/>
      <c r="AS24" s="5">
        <f>Zenith!E26</f>
        <v>2279.544</v>
      </c>
      <c r="AT24" s="6"/>
      <c r="AU24" s="12"/>
      <c r="AV24" s="15"/>
      <c r="AW24" s="5">
        <f>Zuerich!E26</f>
        <v>0</v>
      </c>
      <c r="AX24" s="6"/>
      <c r="AY24" s="15"/>
      <c r="AZ24" s="34"/>
      <c r="BA24" s="5">
        <f>E24+I24+M24+Q24+U24+Y24+AC24+AG24+AK24+AO24+AS24+AW24</f>
        <v>8604225.27659</v>
      </c>
      <c r="BB24" s="6"/>
      <c r="BC24" s="12"/>
    </row>
    <row r="25" spans="1:55" ht="12.75">
      <c r="A25" s="25"/>
      <c r="B25" s="25"/>
      <c r="C25" s="25" t="s">
        <v>80</v>
      </c>
      <c r="D25" s="33"/>
      <c r="E25" s="5">
        <f>'Allianz Suisse'!E27</f>
        <v>164994.999</v>
      </c>
      <c r="F25" s="3">
        <f>SUM(E$23:E$25)</f>
        <v>843165.629</v>
      </c>
      <c r="G25" s="12"/>
      <c r="H25" s="15"/>
      <c r="I25" s="5">
        <f>Basler!E27</f>
        <v>443626.586</v>
      </c>
      <c r="J25" s="3">
        <f>I$23+I$24+I$25</f>
        <v>1619957.9679999999</v>
      </c>
      <c r="K25" s="15"/>
      <c r="L25" s="33"/>
      <c r="M25" s="5">
        <f>Generali!E27</f>
        <v>35465.97135</v>
      </c>
      <c r="N25" s="3">
        <f>M$23+M$24+M$25</f>
        <v>160809.32833</v>
      </c>
      <c r="O25" s="12"/>
      <c r="P25" s="15"/>
      <c r="Q25" s="5">
        <f>Helvetia!E27</f>
        <v>181353.39869</v>
      </c>
      <c r="R25" s="3">
        <f>Q$23+Q$24+Q$25</f>
        <v>1222596.7512299998</v>
      </c>
      <c r="S25" s="15"/>
      <c r="T25" s="33"/>
      <c r="U25" s="5">
        <f>Mobiliar!E27</f>
        <v>45700.1</v>
      </c>
      <c r="V25" s="3">
        <f>U$23+U$24+U$25</f>
        <v>158776.3</v>
      </c>
      <c r="W25" s="12"/>
      <c r="X25" s="15"/>
      <c r="Y25" s="5">
        <f>Nationale!E27</f>
        <v>74530</v>
      </c>
      <c r="Z25" s="3">
        <f>Y$23+Y$24+Y$25</f>
        <v>239486</v>
      </c>
      <c r="AA25" s="15"/>
      <c r="AB25" s="33"/>
      <c r="AC25" s="5">
        <f>Pax!E27</f>
        <v>22858</v>
      </c>
      <c r="AD25" s="3">
        <f>AC$23+AC$24+AC$25</f>
        <v>347548</v>
      </c>
      <c r="AE25" s="12"/>
      <c r="AF25" s="15"/>
      <c r="AG25" s="5">
        <f>Phenix!E27</f>
        <v>2739</v>
      </c>
      <c r="AH25" s="3">
        <f>AG$23+AG$24+AG$25</f>
        <v>11618</v>
      </c>
      <c r="AI25" s="15"/>
      <c r="AJ25" s="33"/>
      <c r="AK25" s="5">
        <f>Rentenanstalt!E27</f>
        <v>1294005.67864</v>
      </c>
      <c r="AL25" s="3">
        <f>AK$23+AK$24+AK$25</f>
        <v>5656670.351679999</v>
      </c>
      <c r="AM25" s="12"/>
      <c r="AN25" s="15"/>
      <c r="AO25" s="5">
        <f>Winterthur!E27</f>
        <v>921181</v>
      </c>
      <c r="AP25" s="3">
        <f>AO$23+AO$24+AO$25</f>
        <v>5776577</v>
      </c>
      <c r="AQ25" s="15"/>
      <c r="AR25" s="33"/>
      <c r="AS25" s="5">
        <f>Zenith!E27</f>
        <v>89064.579</v>
      </c>
      <c r="AT25" s="3">
        <f>AS$23+AS$24+AS$25</f>
        <v>93736.378</v>
      </c>
      <c r="AU25" s="12"/>
      <c r="AV25" s="15"/>
      <c r="AW25" s="5">
        <f>Zuerich!E27</f>
        <v>3482034.8224</v>
      </c>
      <c r="AX25" s="3">
        <f>AW$23+AW$24+AW$25</f>
        <v>3936267.6176299998</v>
      </c>
      <c r="AY25" s="15"/>
      <c r="AZ25" s="34"/>
      <c r="BA25" s="5">
        <f>E25+I25+M25+Q25+U25+Y25+AC25+AG25+AK25+AO25+AS25+AW25</f>
        <v>6757554.13508</v>
      </c>
      <c r="BB25" s="3">
        <f>SUM(BA$23:BA$25)</f>
        <v>20067209.323870003</v>
      </c>
      <c r="BC25" s="12"/>
    </row>
    <row r="26" spans="1:55" ht="12.75">
      <c r="A26" s="25"/>
      <c r="B26" s="50" t="s">
        <v>81</v>
      </c>
      <c r="C26" s="25"/>
      <c r="D26" s="33"/>
      <c r="E26" s="6"/>
      <c r="F26" s="15"/>
      <c r="G26" s="12"/>
      <c r="H26" s="15"/>
      <c r="I26" s="6"/>
      <c r="J26" s="15"/>
      <c r="K26" s="15"/>
      <c r="L26" s="33"/>
      <c r="M26" s="6"/>
      <c r="N26" s="15"/>
      <c r="O26" s="12"/>
      <c r="P26" s="15"/>
      <c r="Q26" s="6"/>
      <c r="R26" s="15"/>
      <c r="S26" s="15"/>
      <c r="T26" s="33"/>
      <c r="U26" s="6"/>
      <c r="V26" s="15"/>
      <c r="W26" s="12"/>
      <c r="X26" s="15"/>
      <c r="Y26" s="6"/>
      <c r="Z26" s="15"/>
      <c r="AA26" s="15"/>
      <c r="AB26" s="33"/>
      <c r="AC26" s="6"/>
      <c r="AD26" s="15"/>
      <c r="AE26" s="12"/>
      <c r="AF26" s="15"/>
      <c r="AG26" s="6"/>
      <c r="AH26" s="15"/>
      <c r="AI26" s="15"/>
      <c r="AJ26" s="33"/>
      <c r="AK26" s="6"/>
      <c r="AL26" s="15"/>
      <c r="AM26" s="12"/>
      <c r="AN26" s="15"/>
      <c r="AO26" s="6"/>
      <c r="AP26" s="15"/>
      <c r="AQ26" s="15"/>
      <c r="AR26" s="33"/>
      <c r="AS26" s="6"/>
      <c r="AT26" s="15"/>
      <c r="AU26" s="12"/>
      <c r="AV26" s="15"/>
      <c r="AW26" s="6"/>
      <c r="AX26" s="15"/>
      <c r="AY26" s="15"/>
      <c r="AZ26" s="34"/>
      <c r="BA26" s="6"/>
      <c r="BB26" s="6"/>
      <c r="BC26" s="12"/>
    </row>
    <row r="27" spans="1:55" ht="12.75">
      <c r="A27" s="25"/>
      <c r="B27" s="25"/>
      <c r="C27" s="25" t="s">
        <v>82</v>
      </c>
      <c r="D27" s="33"/>
      <c r="E27" s="5">
        <f>'Allianz Suisse'!E29</f>
        <v>199857.13500000024</v>
      </c>
      <c r="F27" s="6"/>
      <c r="G27" s="12"/>
      <c r="H27" s="15"/>
      <c r="I27" s="5">
        <f>Basler!E29</f>
        <v>148282.86099999957</v>
      </c>
      <c r="J27" s="6"/>
      <c r="K27" s="15"/>
      <c r="L27" s="33"/>
      <c r="M27" s="5">
        <f>Generali!E29</f>
        <v>-94488.49889999998</v>
      </c>
      <c r="N27" s="6"/>
      <c r="O27" s="12"/>
      <c r="P27" s="15"/>
      <c r="Q27" s="5">
        <f>Helvetia!E29</f>
        <v>186236.60155499913</v>
      </c>
      <c r="R27" s="6"/>
      <c r="S27" s="15"/>
      <c r="T27" s="33"/>
      <c r="U27" s="5">
        <f>Mobiliar!E29</f>
        <v>0</v>
      </c>
      <c r="V27" s="6"/>
      <c r="W27" s="12"/>
      <c r="X27" s="15"/>
      <c r="Y27" s="5">
        <f>Nationale!E29</f>
        <v>62728</v>
      </c>
      <c r="Z27" s="6"/>
      <c r="AA27" s="15"/>
      <c r="AB27" s="33"/>
      <c r="AC27" s="5">
        <f>Pax!E29</f>
        <v>89936.80187000008</v>
      </c>
      <c r="AD27" s="6"/>
      <c r="AE27" s="12"/>
      <c r="AF27" s="15"/>
      <c r="AG27" s="5">
        <f>Phenix!E29</f>
        <v>8730</v>
      </c>
      <c r="AH27" s="6"/>
      <c r="AI27" s="15"/>
      <c r="AJ27" s="33"/>
      <c r="AK27" s="5">
        <f>Rentenanstalt!E29</f>
        <v>1090902.0229499973</v>
      </c>
      <c r="AL27" s="6"/>
      <c r="AM27" s="12"/>
      <c r="AN27" s="15"/>
      <c r="AO27" s="5">
        <f>Winterthur!E29</f>
        <v>625922</v>
      </c>
      <c r="AP27" s="6"/>
      <c r="AQ27" s="15"/>
      <c r="AR27" s="33"/>
      <c r="AS27" s="5">
        <f>Zenith!E29</f>
        <v>-53694.837</v>
      </c>
      <c r="AT27" s="6"/>
      <c r="AU27" s="12"/>
      <c r="AV27" s="15"/>
      <c r="AW27" s="5">
        <f>Zuerich!E29</f>
        <v>-2888230.1946748057</v>
      </c>
      <c r="AX27" s="6"/>
      <c r="AY27" s="15"/>
      <c r="AZ27" s="34"/>
      <c r="BA27" s="5">
        <f>E27+I27+M27+Q27+U27+Y27+AC27+AG27+AK27+AO27+AS27+AW27</f>
        <v>-623818.1081998092</v>
      </c>
      <c r="BB27" s="6"/>
      <c r="BC27" s="12"/>
    </row>
    <row r="28" spans="1:55" ht="12.75">
      <c r="A28" s="25"/>
      <c r="B28" s="25"/>
      <c r="C28" s="25" t="s">
        <v>83</v>
      </c>
      <c r="D28" s="33"/>
      <c r="E28" s="5">
        <f>'Allianz Suisse'!E30</f>
        <v>29486.111000000034</v>
      </c>
      <c r="F28" s="6"/>
      <c r="G28" s="12"/>
      <c r="H28" s="15"/>
      <c r="I28" s="5">
        <f>Basler!E30</f>
        <v>43372.461999999825</v>
      </c>
      <c r="J28" s="6"/>
      <c r="K28" s="15"/>
      <c r="L28" s="33"/>
      <c r="M28" s="5">
        <f>Generali!E30</f>
        <v>-25471.54779999997</v>
      </c>
      <c r="N28" s="6"/>
      <c r="O28" s="12"/>
      <c r="P28" s="15"/>
      <c r="Q28" s="5">
        <f>Helvetia!E30</f>
        <v>159642.67180537665</v>
      </c>
      <c r="R28" s="6"/>
      <c r="S28" s="15"/>
      <c r="T28" s="33"/>
      <c r="U28" s="5">
        <f>Mobiliar!E30</f>
        <v>63533.158000000054</v>
      </c>
      <c r="V28" s="6"/>
      <c r="W28" s="12"/>
      <c r="X28" s="15"/>
      <c r="Y28" s="5">
        <f>Nationale!E30</f>
        <v>54224</v>
      </c>
      <c r="Z28" s="6"/>
      <c r="AA28" s="15"/>
      <c r="AB28" s="33"/>
      <c r="AC28" s="5">
        <f>Pax!E30</f>
        <v>41284.36300000001</v>
      </c>
      <c r="AD28" s="6"/>
      <c r="AE28" s="12"/>
      <c r="AF28" s="15"/>
      <c r="AG28" s="5">
        <f>Phenix!E30</f>
        <v>2810</v>
      </c>
      <c r="AH28" s="6"/>
      <c r="AI28" s="15"/>
      <c r="AJ28" s="33"/>
      <c r="AK28" s="5">
        <f>Rentenanstalt!E30</f>
        <v>305818.5139000006</v>
      </c>
      <c r="AL28" s="6"/>
      <c r="AM28" s="12"/>
      <c r="AN28" s="15"/>
      <c r="AO28" s="5">
        <f>Winterthur!E30</f>
        <v>767663</v>
      </c>
      <c r="AP28" s="6"/>
      <c r="AQ28" s="15"/>
      <c r="AR28" s="33"/>
      <c r="AS28" s="5">
        <f>Zenith!E30</f>
        <v>-10510.7972</v>
      </c>
      <c r="AT28" s="6"/>
      <c r="AU28" s="12"/>
      <c r="AV28" s="15"/>
      <c r="AW28" s="5">
        <f>Zuerich!E30</f>
        <v>-121528.10442849249</v>
      </c>
      <c r="AX28" s="6"/>
      <c r="AY28" s="15"/>
      <c r="AZ28" s="34"/>
      <c r="BA28" s="5">
        <f>E28+I28+M28+Q28+U28+Y28+AC28+AG28+AK28+AO28+AS28+AW28</f>
        <v>1310323.8302768848</v>
      </c>
      <c r="BB28" s="6"/>
      <c r="BC28" s="12"/>
    </row>
    <row r="29" spans="1:55" ht="12.75">
      <c r="A29" s="25"/>
      <c r="B29" s="25"/>
      <c r="C29" s="25" t="s">
        <v>84</v>
      </c>
      <c r="D29" s="34"/>
      <c r="E29" s="5">
        <f>'Allianz Suisse'!E31</f>
        <v>-13872.342000000004</v>
      </c>
      <c r="F29" s="6"/>
      <c r="G29" s="12"/>
      <c r="H29" s="6"/>
      <c r="I29" s="5">
        <f>Basler!E31</f>
        <v>-22499.59600000002</v>
      </c>
      <c r="J29" s="6"/>
      <c r="K29" s="15"/>
      <c r="L29" s="34"/>
      <c r="M29" s="5">
        <f>Generali!E31</f>
        <v>-11085.957269999999</v>
      </c>
      <c r="N29" s="6"/>
      <c r="O29" s="12"/>
      <c r="P29" s="6"/>
      <c r="Q29" s="5">
        <f>Helvetia!E31</f>
        <v>-11168.89</v>
      </c>
      <c r="R29" s="6"/>
      <c r="S29" s="15"/>
      <c r="T29" s="34"/>
      <c r="U29" s="5">
        <f>Mobiliar!E31</f>
        <v>-655.8439999999991</v>
      </c>
      <c r="V29" s="6"/>
      <c r="W29" s="12"/>
      <c r="X29" s="6"/>
      <c r="Y29" s="5">
        <f>Nationale!E31</f>
        <v>-3022</v>
      </c>
      <c r="Z29" s="6"/>
      <c r="AA29" s="15"/>
      <c r="AB29" s="34"/>
      <c r="AC29" s="5">
        <f>Pax!E31</f>
        <v>-3316.917870000001</v>
      </c>
      <c r="AD29" s="6"/>
      <c r="AE29" s="12"/>
      <c r="AF29" s="6"/>
      <c r="AG29" s="5">
        <f>Phenix!E31</f>
        <v>-644</v>
      </c>
      <c r="AH29" s="6"/>
      <c r="AI29" s="15"/>
      <c r="AJ29" s="34"/>
      <c r="AK29" s="5">
        <f>Rentenanstalt!E31</f>
        <v>65705.18800000008</v>
      </c>
      <c r="AL29" s="6"/>
      <c r="AM29" s="12"/>
      <c r="AN29" s="6"/>
      <c r="AO29" s="5">
        <f>Winterthur!E31</f>
        <v>-123403</v>
      </c>
      <c r="AP29" s="6"/>
      <c r="AQ29" s="15"/>
      <c r="AR29" s="34"/>
      <c r="AS29" s="5">
        <f>Zenith!E31</f>
        <v>4420.225999999999</v>
      </c>
      <c r="AT29" s="6"/>
      <c r="AU29" s="12"/>
      <c r="AV29" s="6"/>
      <c r="AW29" s="5">
        <f>Zuerich!E31</f>
        <v>-33315.261</v>
      </c>
      <c r="AX29" s="6"/>
      <c r="AY29" s="15"/>
      <c r="AZ29" s="34"/>
      <c r="BA29" s="5">
        <f>E29+I29+M29+Q29+U29+Y29+AC29+AG29+AK29+AO29+AS29+AW29</f>
        <v>-152858.39413999993</v>
      </c>
      <c r="BB29" s="6"/>
      <c r="BC29" s="12"/>
    </row>
    <row r="30" spans="1:55" ht="12.75">
      <c r="A30" s="25"/>
      <c r="B30" s="25"/>
      <c r="C30" s="25" t="s">
        <v>85</v>
      </c>
      <c r="D30" s="34"/>
      <c r="E30" s="5">
        <f>F$30-SUM(E$27:E$29)</f>
        <v>4994.092999999732</v>
      </c>
      <c r="F30" s="3">
        <f>'Allianz Suisse'!F32</f>
        <v>220464.997</v>
      </c>
      <c r="G30" s="12"/>
      <c r="H30" s="6"/>
      <c r="I30" s="5">
        <f>J$30-SUM(I$27:I$29)</f>
        <v>215368.37900000066</v>
      </c>
      <c r="J30" s="3">
        <f>Basler!F32</f>
        <v>384524.106</v>
      </c>
      <c r="K30" s="15"/>
      <c r="L30" s="34"/>
      <c r="M30" s="5">
        <f>N$30-SUM(M$27:M$29)</f>
        <v>-2758.3450300000695</v>
      </c>
      <c r="N30" s="3">
        <f>Generali!F32</f>
        <v>-133804.34900000002</v>
      </c>
      <c r="O30" s="12"/>
      <c r="P30" s="6"/>
      <c r="Q30" s="5">
        <f>R$30-SUM(Q$27:Q$29)</f>
        <v>67789.26363962423</v>
      </c>
      <c r="R30" s="3">
        <f>Helvetia!F32</f>
        <v>402499.647</v>
      </c>
      <c r="S30" s="15"/>
      <c r="T30" s="34"/>
      <c r="U30" s="5">
        <f>V$30-SUM(U$27:U$29)</f>
        <v>38064.08599999994</v>
      </c>
      <c r="V30" s="3">
        <f>Mobiliar!F32</f>
        <v>100941.4</v>
      </c>
      <c r="W30" s="12"/>
      <c r="X30" s="6"/>
      <c r="Y30" s="5">
        <f>Z$30-SUM(Y$27:Y$29)</f>
        <v>-8506</v>
      </c>
      <c r="Z30" s="3">
        <f>Nationale!F32</f>
        <v>105424</v>
      </c>
      <c r="AA30" s="15"/>
      <c r="AB30" s="34"/>
      <c r="AC30" s="5">
        <f>AD$30-SUM(AC$27:AC$29)</f>
        <v>6221.75299999991</v>
      </c>
      <c r="AD30" s="3">
        <f>Pax!F32</f>
        <v>134126</v>
      </c>
      <c r="AE30" s="12"/>
      <c r="AF30" s="6"/>
      <c r="AG30" s="5">
        <f>AH$30-SUM(AG$27:AG$29)</f>
        <v>-544</v>
      </c>
      <c r="AH30" s="3">
        <f>Phenix!F32</f>
        <v>10352</v>
      </c>
      <c r="AI30" s="15"/>
      <c r="AJ30" s="34"/>
      <c r="AK30" s="5">
        <f>AL$30-SUM(AK$27:AK$29)</f>
        <v>99026.73871000204</v>
      </c>
      <c r="AL30" s="3">
        <f>Rentenanstalt!F32</f>
        <v>1561452.46356</v>
      </c>
      <c r="AM30" s="12"/>
      <c r="AN30" s="6"/>
      <c r="AO30" s="5">
        <f>AP$30-SUM(AO$27:AO$29)</f>
        <v>-3458</v>
      </c>
      <c r="AP30" s="3">
        <f>Winterthur!F32</f>
        <v>1266724</v>
      </c>
      <c r="AQ30" s="15"/>
      <c r="AR30" s="34"/>
      <c r="AS30" s="5">
        <f>AT$30-SUM(AS$27:AS$29)</f>
        <v>-25852.934799999988</v>
      </c>
      <c r="AT30" s="3">
        <f>Zenith!F32</f>
        <v>-85638.343</v>
      </c>
      <c r="AU30" s="12"/>
      <c r="AV30" s="6"/>
      <c r="AW30" s="5">
        <f>AX$30-SUM(AW$27:AW$29)</f>
        <v>-10290.286916702054</v>
      </c>
      <c r="AX30" s="3">
        <f>Zuerich!F32</f>
        <v>-3053363.84702</v>
      </c>
      <c r="AY30" s="15"/>
      <c r="AZ30" s="34"/>
      <c r="BA30" s="5">
        <f>BB$30-SUM(BA$27:BA$29)</f>
        <v>380054.7466029243</v>
      </c>
      <c r="BB30" s="3">
        <f>F30+J30+N30+R30+V30+Z30+AD30+AH30+AL30+AP30+AT30+AX30</f>
        <v>913702.07454</v>
      </c>
      <c r="BC30" s="12"/>
    </row>
    <row r="31" spans="1:55" ht="12.75">
      <c r="A31" s="25"/>
      <c r="B31" s="50" t="s">
        <v>9</v>
      </c>
      <c r="C31" s="25"/>
      <c r="D31" s="34"/>
      <c r="E31" s="6"/>
      <c r="F31" s="3">
        <f>'Allianz Suisse'!F33</f>
        <v>51879.588</v>
      </c>
      <c r="G31" s="12"/>
      <c r="H31" s="6"/>
      <c r="I31" s="6"/>
      <c r="J31" s="3">
        <f>Basler!F33</f>
        <v>96412.129</v>
      </c>
      <c r="K31" s="15"/>
      <c r="L31" s="34"/>
      <c r="M31" s="6"/>
      <c r="N31" s="3">
        <f>Generali!F33</f>
        <v>2764.28406</v>
      </c>
      <c r="O31" s="12"/>
      <c r="P31" s="6"/>
      <c r="Q31" s="6"/>
      <c r="R31" s="3">
        <f>Helvetia!F33</f>
        <v>92940.18331599995</v>
      </c>
      <c r="S31" s="15"/>
      <c r="T31" s="34"/>
      <c r="U31" s="6"/>
      <c r="V31" s="3">
        <f>Mobiliar!F33</f>
        <v>30660.4</v>
      </c>
      <c r="W31" s="12"/>
      <c r="X31" s="6"/>
      <c r="Y31" s="6"/>
      <c r="Z31" s="3">
        <f>Nationale!F33</f>
        <v>13310</v>
      </c>
      <c r="AA31" s="15"/>
      <c r="AB31" s="34"/>
      <c r="AC31" s="6"/>
      <c r="AD31" s="3">
        <f>Pax!F33</f>
        <v>21835.387</v>
      </c>
      <c r="AE31" s="12"/>
      <c r="AF31" s="6"/>
      <c r="AG31" s="6"/>
      <c r="AH31" s="3">
        <f>Phenix!F33</f>
        <v>2141</v>
      </c>
      <c r="AI31" s="15"/>
      <c r="AJ31" s="34"/>
      <c r="AK31" s="6"/>
      <c r="AL31" s="3">
        <f>Rentenanstalt!F33</f>
        <v>331710.80847000005</v>
      </c>
      <c r="AM31" s="12"/>
      <c r="AN31" s="6"/>
      <c r="AO31" s="6"/>
      <c r="AP31" s="3">
        <f>Winterthur!F33</f>
        <v>210180</v>
      </c>
      <c r="AQ31" s="15"/>
      <c r="AR31" s="34"/>
      <c r="AS31" s="6"/>
      <c r="AT31" s="3">
        <f>Zenith!F33</f>
        <v>1295.249</v>
      </c>
      <c r="AU31" s="12"/>
      <c r="AV31" s="6"/>
      <c r="AW31" s="6"/>
      <c r="AX31" s="3">
        <f>Zuerich!F33</f>
        <v>161456.11403</v>
      </c>
      <c r="AY31" s="15"/>
      <c r="AZ31" s="34"/>
      <c r="BA31" s="6"/>
      <c r="BB31" s="3">
        <f>F31+J31+N31+R31+V31+Z31+AD31+AH31+AL31+AP31+AT31+AX31</f>
        <v>1016585.1428759999</v>
      </c>
      <c r="BC31" s="12"/>
    </row>
    <row r="32" spans="1:55" ht="12.75">
      <c r="A32" s="25"/>
      <c r="B32" s="25" t="s">
        <v>86</v>
      </c>
      <c r="C32" s="25"/>
      <c r="D32" s="33"/>
      <c r="E32" s="6"/>
      <c r="F32" s="3">
        <f>'Allianz Suisse'!F34</f>
        <v>86301.447</v>
      </c>
      <c r="G32" s="12"/>
      <c r="H32" s="15"/>
      <c r="I32" s="6"/>
      <c r="J32" s="3">
        <f>Basler!F34</f>
        <v>8607.008</v>
      </c>
      <c r="K32" s="15"/>
      <c r="L32" s="33"/>
      <c r="M32" s="6"/>
      <c r="N32" s="3">
        <f>Generali!F34</f>
        <v>0</v>
      </c>
      <c r="O32" s="12"/>
      <c r="P32" s="15"/>
      <c r="Q32" s="6"/>
      <c r="R32" s="3">
        <f>Helvetia!F34</f>
        <v>1960.86485</v>
      </c>
      <c r="S32" s="15"/>
      <c r="T32" s="33"/>
      <c r="U32" s="6"/>
      <c r="V32" s="3">
        <f>Mobiliar!F34</f>
        <v>2521.5</v>
      </c>
      <c r="W32" s="12"/>
      <c r="X32" s="15"/>
      <c r="Y32" s="6"/>
      <c r="Z32" s="3">
        <f>Nationale!F34</f>
        <v>8561</v>
      </c>
      <c r="AA32" s="15"/>
      <c r="AB32" s="33"/>
      <c r="AC32" s="6"/>
      <c r="AD32" s="3">
        <f>Pax!F34</f>
        <v>5406.501</v>
      </c>
      <c r="AE32" s="12"/>
      <c r="AF32" s="15"/>
      <c r="AG32" s="6"/>
      <c r="AH32" s="3">
        <f>Phenix!F34</f>
        <v>0</v>
      </c>
      <c r="AI32" s="15"/>
      <c r="AJ32" s="33"/>
      <c r="AK32" s="6"/>
      <c r="AL32" s="3">
        <f>Rentenanstalt!F34</f>
        <v>62354.859809999994</v>
      </c>
      <c r="AM32" s="12"/>
      <c r="AN32" s="15"/>
      <c r="AO32" s="6"/>
      <c r="AP32" s="3">
        <f>Winterthur!F34</f>
        <v>62</v>
      </c>
      <c r="AQ32" s="15"/>
      <c r="AR32" s="33"/>
      <c r="AS32" s="6"/>
      <c r="AT32" s="3">
        <f>Zenith!F34</f>
        <v>13</v>
      </c>
      <c r="AU32" s="12"/>
      <c r="AV32" s="15"/>
      <c r="AW32" s="6"/>
      <c r="AX32" s="3">
        <f>Zuerich!F34</f>
        <v>19242.79806</v>
      </c>
      <c r="AY32" s="15"/>
      <c r="AZ32" s="34"/>
      <c r="BA32" s="6"/>
      <c r="BB32" s="3">
        <f>F32+J32+N32+R32+V32+Z32+AD32+AH32+AL32+AP32+AT32+AX32</f>
        <v>195030.97872</v>
      </c>
      <c r="BC32" s="12"/>
    </row>
    <row r="33" spans="1:55" ht="12.75">
      <c r="A33" s="25"/>
      <c r="B33" s="25" t="s">
        <v>10</v>
      </c>
      <c r="C33" s="25"/>
      <c r="D33" s="33"/>
      <c r="E33" s="6"/>
      <c r="F33" s="3">
        <f>'Allianz Suisse'!F35</f>
        <v>0</v>
      </c>
      <c r="G33" s="12"/>
      <c r="H33" s="15"/>
      <c r="I33" s="6"/>
      <c r="J33" s="3">
        <f>Basler!F35</f>
        <v>0</v>
      </c>
      <c r="K33" s="15"/>
      <c r="L33" s="33"/>
      <c r="M33" s="6"/>
      <c r="N33" s="3">
        <f>Generali!F35</f>
        <v>0</v>
      </c>
      <c r="O33" s="12"/>
      <c r="P33" s="15"/>
      <c r="Q33" s="6"/>
      <c r="R33" s="3">
        <f>Helvetia!F35</f>
        <v>0</v>
      </c>
      <c r="S33" s="15"/>
      <c r="T33" s="33"/>
      <c r="U33" s="6"/>
      <c r="V33" s="3">
        <f>Mobiliar!F35</f>
        <v>0</v>
      </c>
      <c r="W33" s="12"/>
      <c r="X33" s="15"/>
      <c r="Y33" s="6"/>
      <c r="Z33" s="3">
        <f>Nationale!F35</f>
        <v>0</v>
      </c>
      <c r="AA33" s="15"/>
      <c r="AB33" s="33"/>
      <c r="AC33" s="6"/>
      <c r="AD33" s="3">
        <f>Pax!F35</f>
        <v>0</v>
      </c>
      <c r="AE33" s="12"/>
      <c r="AF33" s="15"/>
      <c r="AG33" s="6"/>
      <c r="AH33" s="3">
        <f>Phenix!F35</f>
        <v>0</v>
      </c>
      <c r="AI33" s="15"/>
      <c r="AJ33" s="33"/>
      <c r="AK33" s="6"/>
      <c r="AL33" s="3">
        <f>Rentenanstalt!F35</f>
        <v>0</v>
      </c>
      <c r="AM33" s="12"/>
      <c r="AN33" s="15"/>
      <c r="AO33" s="6"/>
      <c r="AP33" s="3">
        <f>Winterthur!F35</f>
        <v>0</v>
      </c>
      <c r="AQ33" s="15"/>
      <c r="AR33" s="33"/>
      <c r="AS33" s="6"/>
      <c r="AT33" s="3">
        <f>Zenith!F35</f>
        <v>0</v>
      </c>
      <c r="AU33" s="12"/>
      <c r="AV33" s="15"/>
      <c r="AW33" s="6"/>
      <c r="AX33" s="3">
        <f>Zuerich!F35</f>
        <v>0</v>
      </c>
      <c r="AY33" s="15"/>
      <c r="AZ33" s="34"/>
      <c r="BA33" s="6"/>
      <c r="BB33" s="3">
        <f>F33+J33+N33+R33+V33+Z33+AD33+AH33+AL33+AP33+AT33+AX33</f>
        <v>0</v>
      </c>
      <c r="BC33" s="12"/>
    </row>
    <row r="34" spans="1:55" ht="12.75">
      <c r="A34" s="25"/>
      <c r="B34" s="25" t="s">
        <v>11</v>
      </c>
      <c r="C34" s="25"/>
      <c r="D34" s="33"/>
      <c r="E34" s="15"/>
      <c r="F34" s="3">
        <f>'Allianz Suisse'!F36</f>
        <v>45631.675</v>
      </c>
      <c r="G34" s="12"/>
      <c r="H34" s="15"/>
      <c r="I34" s="15"/>
      <c r="J34" s="3">
        <f>Basler!F36</f>
        <v>74690</v>
      </c>
      <c r="K34" s="15"/>
      <c r="L34" s="33"/>
      <c r="M34" s="15"/>
      <c r="N34" s="3">
        <f>Generali!F36</f>
        <v>0</v>
      </c>
      <c r="O34" s="12"/>
      <c r="P34" s="15"/>
      <c r="Q34" s="15"/>
      <c r="R34" s="3">
        <f>Helvetia!F36</f>
        <v>110716.8588</v>
      </c>
      <c r="S34" s="15"/>
      <c r="T34" s="33"/>
      <c r="U34" s="15"/>
      <c r="V34" s="3">
        <f>Mobiliar!F36</f>
        <v>105245.7</v>
      </c>
      <c r="W34" s="12"/>
      <c r="X34" s="15"/>
      <c r="Y34" s="15"/>
      <c r="Z34" s="3">
        <f>Nationale!F36</f>
        <v>4459</v>
      </c>
      <c r="AA34" s="15"/>
      <c r="AB34" s="33"/>
      <c r="AC34" s="15"/>
      <c r="AD34" s="3">
        <f>Pax!F36</f>
        <v>10000</v>
      </c>
      <c r="AE34" s="12"/>
      <c r="AF34" s="15"/>
      <c r="AG34" s="15"/>
      <c r="AH34" s="3">
        <f>Phenix!F36</f>
        <v>0</v>
      </c>
      <c r="AI34" s="15"/>
      <c r="AJ34" s="33"/>
      <c r="AK34" s="15"/>
      <c r="AL34" s="3">
        <f>Rentenanstalt!F36</f>
        <v>431214.24027</v>
      </c>
      <c r="AM34" s="12"/>
      <c r="AN34" s="15"/>
      <c r="AO34" s="15"/>
      <c r="AP34" s="3">
        <f>Winterthur!F36</f>
        <v>293561</v>
      </c>
      <c r="AQ34" s="15"/>
      <c r="AR34" s="33"/>
      <c r="AS34" s="15"/>
      <c r="AT34" s="3">
        <f>Zenith!F36</f>
        <v>0</v>
      </c>
      <c r="AU34" s="12"/>
      <c r="AV34" s="15"/>
      <c r="AW34" s="15"/>
      <c r="AX34" s="3">
        <f>Zuerich!F36</f>
        <v>181184</v>
      </c>
      <c r="AY34" s="15"/>
      <c r="AZ34" s="34"/>
      <c r="BA34" s="6"/>
      <c r="BB34" s="3">
        <f>F34+J34+N34+R34+V34+Z34+AD34+AH34+AL34+AP34+AT34+AX34</f>
        <v>1256702.47407</v>
      </c>
      <c r="BC34" s="12"/>
    </row>
    <row r="35" spans="1:55" ht="13.5" thickBot="1">
      <c r="A35" s="25"/>
      <c r="B35" s="25" t="s">
        <v>87</v>
      </c>
      <c r="C35" s="25"/>
      <c r="D35" s="33"/>
      <c r="E35" s="15"/>
      <c r="F35" s="54">
        <f>F$36-(F$25+SUM(F$30:F$34))</f>
        <v>40716.288000000175</v>
      </c>
      <c r="G35" s="12"/>
      <c r="H35" s="15"/>
      <c r="I35" s="15"/>
      <c r="J35" s="54">
        <f>J$36-(J$25+SUM(J$30:J$34))</f>
        <v>60818.99099999992</v>
      </c>
      <c r="K35" s="15"/>
      <c r="L35" s="33"/>
      <c r="M35" s="15"/>
      <c r="N35" s="54">
        <f>N$36-(N$25+SUM(N$30:N$34))</f>
        <v>-414.36635999997816</v>
      </c>
      <c r="O35" s="12"/>
      <c r="P35" s="15"/>
      <c r="Q35" s="15"/>
      <c r="R35" s="54">
        <f>R$36-(R$25+SUM(R$30:R$34))</f>
        <v>57762.295820000116</v>
      </c>
      <c r="S35" s="15"/>
      <c r="T35" s="33"/>
      <c r="U35" s="15"/>
      <c r="V35" s="54">
        <f>V$36-(V$25+SUM(V$30:V$34))</f>
        <v>38304.59999999998</v>
      </c>
      <c r="W35" s="12"/>
      <c r="X35" s="15"/>
      <c r="Y35" s="15"/>
      <c r="Z35" s="54">
        <f>Z$36-(Z$25+SUM(Z$30:Z$34))</f>
        <v>4535</v>
      </c>
      <c r="AA35" s="15"/>
      <c r="AB35" s="33"/>
      <c r="AC35" s="15"/>
      <c r="AD35" s="54">
        <f>AD$36-(AD$25+SUM(AD$30:AD$34))</f>
        <v>12673.041000000027</v>
      </c>
      <c r="AE35" s="12"/>
      <c r="AF35" s="15"/>
      <c r="AG35" s="15"/>
      <c r="AH35" s="54">
        <f>AH$36-(AH$25+SUM(AH$30:AH$34))</f>
        <v>-124</v>
      </c>
      <c r="AI35" s="15"/>
      <c r="AJ35" s="33"/>
      <c r="AK35" s="15"/>
      <c r="AL35" s="54">
        <f>AL$36-(AL$25+SUM(AL$30:AL$34))</f>
        <v>212007.48135000188</v>
      </c>
      <c r="AM35" s="12"/>
      <c r="AN35" s="15"/>
      <c r="AO35" s="15"/>
      <c r="AP35" s="54">
        <f>AP$36-(AP$25+SUM(AP$30:AP$34))</f>
        <v>171779</v>
      </c>
      <c r="AQ35" s="15"/>
      <c r="AR35" s="33"/>
      <c r="AS35" s="15"/>
      <c r="AT35" s="54">
        <f>AT$36-(AT$25+SUM(AT$30:AT$34))</f>
        <v>-634.3738634570309</v>
      </c>
      <c r="AU35" s="12"/>
      <c r="AV35" s="15"/>
      <c r="AW35" s="15"/>
      <c r="AX35" s="54">
        <f>AX$36-(AX$25+SUM(AX$30:AX$34))</f>
        <v>95939.07907000068</v>
      </c>
      <c r="AY35" s="15"/>
      <c r="AZ35" s="34"/>
      <c r="BA35" s="6"/>
      <c r="BB35" s="54">
        <f>BB$36-(BB$25+SUM(BB$30:BB$34))</f>
        <v>693363.0360165462</v>
      </c>
      <c r="BC35" s="12"/>
    </row>
    <row r="36" spans="1:55" ht="13.5" thickBot="1">
      <c r="A36" s="25"/>
      <c r="B36" s="25" t="s">
        <v>88</v>
      </c>
      <c r="C36" s="25"/>
      <c r="D36" s="33"/>
      <c r="E36" s="15"/>
      <c r="F36" s="55">
        <f>F$12+F$16+F$17+F$18</f>
        <v>1288159.624</v>
      </c>
      <c r="G36" s="12"/>
      <c r="H36" s="15"/>
      <c r="I36" s="15"/>
      <c r="J36" s="55">
        <f>J$12+J$16+J$17+J$18</f>
        <v>2245010.202</v>
      </c>
      <c r="K36" s="15"/>
      <c r="L36" s="33"/>
      <c r="M36" s="15"/>
      <c r="N36" s="55">
        <f>N$12+N$16+N$17+N$18</f>
        <v>29354.89703</v>
      </c>
      <c r="O36" s="12"/>
      <c r="P36" s="15"/>
      <c r="Q36" s="15"/>
      <c r="R36" s="55">
        <f>R$12+R$16+R$17+R$18</f>
        <v>1888476.601016</v>
      </c>
      <c r="S36" s="15"/>
      <c r="T36" s="33"/>
      <c r="U36" s="15"/>
      <c r="V36" s="55">
        <f>V$12+V$16+V$17+V$18</f>
        <v>436449.89999999997</v>
      </c>
      <c r="W36" s="12"/>
      <c r="X36" s="15"/>
      <c r="Y36" s="15"/>
      <c r="Z36" s="55">
        <f>Z$12+Z$16+Z$17+Z$18</f>
        <v>375775</v>
      </c>
      <c r="AA36" s="15"/>
      <c r="AB36" s="33"/>
      <c r="AC36" s="15"/>
      <c r="AD36" s="55">
        <f>AD$12+AD$16+AD$17+AD$18</f>
        <v>531588.929</v>
      </c>
      <c r="AE36" s="12"/>
      <c r="AF36" s="15"/>
      <c r="AG36" s="15"/>
      <c r="AH36" s="55">
        <f>AH$12+AH$16+AH$17+AH$18</f>
        <v>23987</v>
      </c>
      <c r="AI36" s="15"/>
      <c r="AJ36" s="33"/>
      <c r="AK36" s="15"/>
      <c r="AL36" s="55">
        <f>AL$12+AL$16+AL$17+AL$18</f>
        <v>8255410.205140001</v>
      </c>
      <c r="AM36" s="12"/>
      <c r="AN36" s="15"/>
      <c r="AO36" s="15"/>
      <c r="AP36" s="55">
        <f>AP$12+AP$16+AP$17+AP$18</f>
        <v>7718883</v>
      </c>
      <c r="AQ36" s="15"/>
      <c r="AR36" s="33"/>
      <c r="AS36" s="15"/>
      <c r="AT36" s="55">
        <f>AT$12+AT$16+AT$17+AT$18</f>
        <v>8771.910136542969</v>
      </c>
      <c r="AU36" s="12"/>
      <c r="AV36" s="15"/>
      <c r="AW36" s="15"/>
      <c r="AX36" s="55">
        <f>AX$12+AX$16+AX$17+AX$18</f>
        <v>1340725.76177</v>
      </c>
      <c r="AY36" s="15"/>
      <c r="AZ36" s="34"/>
      <c r="BA36" s="6"/>
      <c r="BB36" s="55">
        <f>BB$12+BB$16+BB$17+BB$18</f>
        <v>24142593.03009255</v>
      </c>
      <c r="BC36" s="12"/>
    </row>
    <row r="37" spans="1:55" ht="12.75">
      <c r="A37" s="25"/>
      <c r="B37" s="25"/>
      <c r="C37" s="25"/>
      <c r="D37" s="33"/>
      <c r="E37" s="15"/>
      <c r="F37" s="15"/>
      <c r="G37" s="12"/>
      <c r="H37" s="15"/>
      <c r="I37" s="15"/>
      <c r="J37" s="15"/>
      <c r="K37" s="15"/>
      <c r="L37" s="33"/>
      <c r="M37" s="15"/>
      <c r="N37" s="15"/>
      <c r="O37" s="12"/>
      <c r="P37" s="15"/>
      <c r="Q37" s="15"/>
      <c r="R37" s="15"/>
      <c r="S37" s="15"/>
      <c r="T37" s="33"/>
      <c r="U37" s="15"/>
      <c r="V37" s="15"/>
      <c r="W37" s="12"/>
      <c r="X37" s="15"/>
      <c r="Y37" s="15"/>
      <c r="Z37" s="15"/>
      <c r="AA37" s="15"/>
      <c r="AB37" s="33"/>
      <c r="AC37" s="15"/>
      <c r="AD37" s="15"/>
      <c r="AE37" s="12"/>
      <c r="AF37" s="15"/>
      <c r="AG37" s="15"/>
      <c r="AH37" s="15"/>
      <c r="AI37" s="15"/>
      <c r="AJ37" s="33"/>
      <c r="AK37" s="15"/>
      <c r="AL37" s="15"/>
      <c r="AM37" s="12"/>
      <c r="AN37" s="15"/>
      <c r="AO37" s="15"/>
      <c r="AP37" s="15"/>
      <c r="AQ37" s="15"/>
      <c r="AR37" s="33"/>
      <c r="AS37" s="15"/>
      <c r="AT37" s="15"/>
      <c r="AU37" s="12"/>
      <c r="AV37" s="15"/>
      <c r="AW37" s="15"/>
      <c r="AX37" s="15"/>
      <c r="AY37" s="15"/>
      <c r="AZ37" s="34"/>
      <c r="BA37" s="6"/>
      <c r="BB37" s="6"/>
      <c r="BC37" s="12"/>
    </row>
    <row r="38" spans="1:55" ht="12.75">
      <c r="A38" s="48" t="s">
        <v>89</v>
      </c>
      <c r="B38" s="25"/>
      <c r="C38" s="25"/>
      <c r="D38" s="33"/>
      <c r="E38" s="6"/>
      <c r="F38" s="6"/>
      <c r="G38" s="12"/>
      <c r="H38" s="15"/>
      <c r="I38" s="6"/>
      <c r="J38" s="6"/>
      <c r="K38" s="15"/>
      <c r="L38" s="33"/>
      <c r="M38" s="6"/>
      <c r="N38" s="6"/>
      <c r="O38" s="12"/>
      <c r="P38" s="15"/>
      <c r="Q38" s="6"/>
      <c r="R38" s="6"/>
      <c r="S38" s="15"/>
      <c r="T38" s="33"/>
      <c r="U38" s="6"/>
      <c r="V38" s="6"/>
      <c r="W38" s="12"/>
      <c r="X38" s="15"/>
      <c r="Y38" s="6"/>
      <c r="Z38" s="6"/>
      <c r="AA38" s="15"/>
      <c r="AB38" s="33"/>
      <c r="AC38" s="6"/>
      <c r="AD38" s="6"/>
      <c r="AE38" s="12"/>
      <c r="AF38" s="15"/>
      <c r="AG38" s="6"/>
      <c r="AH38" s="6"/>
      <c r="AI38" s="15"/>
      <c r="AJ38" s="33"/>
      <c r="AK38" s="6"/>
      <c r="AL38" s="6"/>
      <c r="AM38" s="12"/>
      <c r="AN38" s="15"/>
      <c r="AO38" s="6"/>
      <c r="AP38" s="6"/>
      <c r="AQ38" s="15"/>
      <c r="AR38" s="33"/>
      <c r="AS38" s="6"/>
      <c r="AT38" s="6"/>
      <c r="AU38" s="12"/>
      <c r="AV38" s="15"/>
      <c r="AW38" s="6"/>
      <c r="AX38" s="6"/>
      <c r="AY38" s="15"/>
      <c r="AZ38" s="34"/>
      <c r="BA38" s="6"/>
      <c r="BB38" s="6"/>
      <c r="BC38" s="12"/>
    </row>
    <row r="39" spans="1:55" ht="12.75">
      <c r="A39" s="48" t="s">
        <v>90</v>
      </c>
      <c r="B39" s="25"/>
      <c r="C39" s="25"/>
      <c r="D39" s="33"/>
      <c r="E39" s="6"/>
      <c r="F39" s="6"/>
      <c r="G39" s="12"/>
      <c r="H39" s="15"/>
      <c r="I39" s="6"/>
      <c r="J39" s="6"/>
      <c r="K39" s="15"/>
      <c r="L39" s="33"/>
      <c r="M39" s="6"/>
      <c r="N39" s="6"/>
      <c r="O39" s="12"/>
      <c r="P39" s="15"/>
      <c r="Q39" s="6"/>
      <c r="R39" s="6"/>
      <c r="S39" s="15"/>
      <c r="T39" s="33"/>
      <c r="U39" s="6"/>
      <c r="V39" s="6"/>
      <c r="W39" s="12"/>
      <c r="X39" s="15"/>
      <c r="Y39" s="6"/>
      <c r="Z39" s="6"/>
      <c r="AA39" s="15"/>
      <c r="AB39" s="33"/>
      <c r="AC39" s="6"/>
      <c r="AD39" s="6"/>
      <c r="AE39" s="12"/>
      <c r="AF39" s="15"/>
      <c r="AG39" s="6"/>
      <c r="AH39" s="6"/>
      <c r="AI39" s="15"/>
      <c r="AJ39" s="33"/>
      <c r="AK39" s="6"/>
      <c r="AL39" s="6"/>
      <c r="AM39" s="12"/>
      <c r="AN39" s="15"/>
      <c r="AO39" s="6"/>
      <c r="AP39" s="6"/>
      <c r="AQ39" s="15"/>
      <c r="AR39" s="33"/>
      <c r="AS39" s="6"/>
      <c r="AT39" s="6"/>
      <c r="AU39" s="12"/>
      <c r="AV39" s="15"/>
      <c r="AW39" s="6"/>
      <c r="AX39" s="6"/>
      <c r="AY39" s="15"/>
      <c r="AZ39" s="34"/>
      <c r="BA39" s="6"/>
      <c r="BB39" s="6"/>
      <c r="BC39" s="12"/>
    </row>
    <row r="40" spans="1:55" ht="12.75">
      <c r="A40" s="25"/>
      <c r="B40" s="50" t="s">
        <v>91</v>
      </c>
      <c r="C40" s="25"/>
      <c r="D40" s="33"/>
      <c r="E40" s="15"/>
      <c r="F40" s="6"/>
      <c r="G40" s="12"/>
      <c r="H40" s="15"/>
      <c r="I40" s="15"/>
      <c r="J40" s="6"/>
      <c r="K40" s="15"/>
      <c r="L40" s="33"/>
      <c r="M40" s="15"/>
      <c r="N40" s="6"/>
      <c r="O40" s="12"/>
      <c r="P40" s="15"/>
      <c r="Q40" s="15"/>
      <c r="R40" s="6"/>
      <c r="S40" s="15"/>
      <c r="T40" s="33"/>
      <c r="U40" s="15"/>
      <c r="V40" s="6"/>
      <c r="W40" s="12"/>
      <c r="X40" s="15"/>
      <c r="Y40" s="15"/>
      <c r="Z40" s="6"/>
      <c r="AA40" s="15"/>
      <c r="AB40" s="33"/>
      <c r="AC40" s="15"/>
      <c r="AD40" s="6"/>
      <c r="AE40" s="12"/>
      <c r="AF40" s="15"/>
      <c r="AG40" s="15"/>
      <c r="AH40" s="6"/>
      <c r="AI40" s="15"/>
      <c r="AJ40" s="33"/>
      <c r="AK40" s="15"/>
      <c r="AL40" s="6"/>
      <c r="AM40" s="12"/>
      <c r="AN40" s="15"/>
      <c r="AO40" s="15"/>
      <c r="AP40" s="6"/>
      <c r="AQ40" s="15"/>
      <c r="AR40" s="33"/>
      <c r="AS40" s="15"/>
      <c r="AT40" s="6"/>
      <c r="AU40" s="12"/>
      <c r="AV40" s="15"/>
      <c r="AW40" s="15"/>
      <c r="AX40" s="6"/>
      <c r="AY40" s="15"/>
      <c r="AZ40" s="34"/>
      <c r="BA40" s="6"/>
      <c r="BB40" s="6"/>
      <c r="BC40" s="12"/>
    </row>
    <row r="41" spans="1:55" ht="12.75">
      <c r="A41" s="25"/>
      <c r="B41" s="25"/>
      <c r="C41" s="25" t="s">
        <v>27</v>
      </c>
      <c r="D41" s="33"/>
      <c r="E41" s="5">
        <f>'Allianz Suisse'!E43</f>
        <v>176716.153</v>
      </c>
      <c r="F41" s="71" t="s">
        <v>138</v>
      </c>
      <c r="G41" s="72">
        <f>IF(E$41&gt;0,E$41/F$48,0)</f>
        <v>0.028545789992221637</v>
      </c>
      <c r="H41" s="15"/>
      <c r="I41" s="5">
        <f>Basler!E43</f>
        <v>417501.152</v>
      </c>
      <c r="J41" s="71" t="s">
        <v>138</v>
      </c>
      <c r="K41" s="57">
        <f>IF(I$41&gt;0,I$41/J$48,0)</f>
        <v>0.03431055710893232</v>
      </c>
      <c r="L41" s="33"/>
      <c r="M41" s="5">
        <f>Generali!E43</f>
        <v>26241.78484</v>
      </c>
      <c r="N41" s="71" t="s">
        <v>138</v>
      </c>
      <c r="O41" s="72">
        <f>IF(M$41&gt;0,M$41/N$48,0)</f>
        <v>0.06954235585980133</v>
      </c>
      <c r="P41" s="15"/>
      <c r="Q41" s="5">
        <f>Helvetia!E43</f>
        <v>295628.87915</v>
      </c>
      <c r="R41" s="71" t="s">
        <v>138</v>
      </c>
      <c r="S41" s="57">
        <f>IF(Q$41&gt;0,Q$41/R$48,0)</f>
        <v>0.02952341550325926</v>
      </c>
      <c r="T41" s="33"/>
      <c r="U41" s="5">
        <f>Mobiliar!E43</f>
        <v>17091.3</v>
      </c>
      <c r="V41" s="71" t="s">
        <v>138</v>
      </c>
      <c r="W41" s="72">
        <f>IF(U$41&gt;0,U$41/V$48,0)</f>
        <v>0.008506668616398783</v>
      </c>
      <c r="X41" s="15"/>
      <c r="Y41" s="5">
        <f>Nationale!E43</f>
        <v>166366</v>
      </c>
      <c r="Z41" s="71" t="s">
        <v>138</v>
      </c>
      <c r="AA41" s="57">
        <f>IF(Y$41&gt;0,Y$41/Z$48,0)</f>
        <v>0.10552026923315992</v>
      </c>
      <c r="AB41" s="33"/>
      <c r="AC41" s="5">
        <f>Pax!E43</f>
        <v>346317</v>
      </c>
      <c r="AD41" s="71" t="s">
        <v>138</v>
      </c>
      <c r="AE41" s="72">
        <f>IF(AC$41&gt;0,AC$41/AD$48,0)</f>
        <v>0.13307783054904185</v>
      </c>
      <c r="AF41" s="15"/>
      <c r="AG41" s="5">
        <f>Phenix!E43</f>
        <v>6591</v>
      </c>
      <c r="AH41" s="71" t="s">
        <v>138</v>
      </c>
      <c r="AI41" s="57">
        <f>IF(AG$41&gt;0,AG$41/AH$48,0)</f>
        <v>0.05750104690117253</v>
      </c>
      <c r="AJ41" s="33"/>
      <c r="AK41" s="5">
        <f>Rentenanstalt!E43</f>
        <v>1336030.9821799998</v>
      </c>
      <c r="AL41" s="71" t="s">
        <v>138</v>
      </c>
      <c r="AM41" s="72">
        <f>IF(AK$41&gt;0,AK$41/AL$48,0)</f>
        <v>0.028611515579709337</v>
      </c>
      <c r="AN41" s="15"/>
      <c r="AO41" s="5">
        <f>Winterthur!E43</f>
        <v>814615</v>
      </c>
      <c r="AP41" s="71" t="s">
        <v>138</v>
      </c>
      <c r="AQ41" s="57">
        <f>IF(AO$41&gt;0,AO$41/AP$48,0)</f>
        <v>0.020510814106204985</v>
      </c>
      <c r="AR41" s="33"/>
      <c r="AS41" s="5">
        <f>Zenith!E43</f>
        <v>10984.96495</v>
      </c>
      <c r="AT41" s="71" t="s">
        <v>138</v>
      </c>
      <c r="AU41" s="72">
        <f>IF(AS$41&gt;0,AS$41/AT$48,0)</f>
        <v>0.15663055109436094</v>
      </c>
      <c r="AV41" s="15"/>
      <c r="AW41" s="5">
        <f>Zuerich!E43</f>
        <v>100107.74175</v>
      </c>
      <c r="AX41" s="71" t="s">
        <v>138</v>
      </c>
      <c r="AY41" s="57">
        <f>IF(AW$41&gt;0,AW$41/AX$48,0)</f>
        <v>0.014564428255398186</v>
      </c>
      <c r="AZ41" s="34"/>
      <c r="BA41" s="5">
        <f aca="true" t="shared" si="0" ref="BA41:BA48">E41+I41+M41+Q41+U41+Y41+AC41+AG41+AK41+AO41+AS41+AW41</f>
        <v>3714191.95787</v>
      </c>
      <c r="BB41" s="71" t="s">
        <v>138</v>
      </c>
      <c r="BC41" s="72">
        <f>IF(BA$41&gt;0,BA$41/BB$48,0)</f>
        <v>0.028924942718651526</v>
      </c>
    </row>
    <row r="42" spans="1:55" ht="12.75">
      <c r="A42" s="25"/>
      <c r="B42" s="25"/>
      <c r="C42" s="25" t="s">
        <v>28</v>
      </c>
      <c r="D42" s="33"/>
      <c r="E42" s="5">
        <f>'Allianz Suisse'!E44</f>
        <v>3077154.609</v>
      </c>
      <c r="F42" s="71" t="s">
        <v>138</v>
      </c>
      <c r="G42" s="72">
        <f>IF(E$42&gt;0,E$42/F$48,0)</f>
        <v>0.49706723324896557</v>
      </c>
      <c r="H42" s="15"/>
      <c r="I42" s="5">
        <f>Basler!E44</f>
        <v>5917164.386</v>
      </c>
      <c r="J42" s="71" t="s">
        <v>138</v>
      </c>
      <c r="K42" s="57">
        <f>IF(I$42&gt;0,I$42/J$48,0)</f>
        <v>0.48627699735974245</v>
      </c>
      <c r="L42" s="33"/>
      <c r="M42" s="5">
        <f>Generali!E44</f>
        <v>180909.55164</v>
      </c>
      <c r="N42" s="71" t="s">
        <v>138</v>
      </c>
      <c r="O42" s="72">
        <f>IF(M$42&gt;0,M$42/N$48,0)</f>
        <v>0.47942152164166524</v>
      </c>
      <c r="P42" s="15"/>
      <c r="Q42" s="5">
        <f>Helvetia!E44</f>
        <v>5456699.028259999</v>
      </c>
      <c r="R42" s="71" t="s">
        <v>138</v>
      </c>
      <c r="S42" s="57">
        <f>IF(Q$42&gt;0,Q$42/R$48,0)</f>
        <v>0.5449413235633512</v>
      </c>
      <c r="T42" s="33"/>
      <c r="U42" s="5">
        <f>Mobiliar!E44</f>
        <v>1497234</v>
      </c>
      <c r="V42" s="71" t="s">
        <v>138</v>
      </c>
      <c r="W42" s="72">
        <f>IF(U$42&gt;0,U$42/V$48,0)</f>
        <v>0.7452021484149958</v>
      </c>
      <c r="X42" s="15"/>
      <c r="Y42" s="5">
        <f>Nationale!E44</f>
        <v>1032626</v>
      </c>
      <c r="Z42" s="71" t="s">
        <v>138</v>
      </c>
      <c r="AA42" s="57">
        <f>IF(Y$42&gt;0,Y$42/Z$48,0)</f>
        <v>0.6549593879588438</v>
      </c>
      <c r="AB42" s="33"/>
      <c r="AC42" s="5">
        <f>Pax!E44</f>
        <v>1389430</v>
      </c>
      <c r="AD42" s="71" t="s">
        <v>138</v>
      </c>
      <c r="AE42" s="72">
        <f>IF(AC$42&gt;0,AC$42/AD$48,0)</f>
        <v>0.533910637074574</v>
      </c>
      <c r="AF42" s="15"/>
      <c r="AG42" s="5">
        <f>Phenix!E44</f>
        <v>97658</v>
      </c>
      <c r="AH42" s="71" t="s">
        <v>138</v>
      </c>
      <c r="AI42" s="57">
        <f>IF(AG$42&gt;0,AG$42/AH$48,0)</f>
        <v>0.8519856225572306</v>
      </c>
      <c r="AJ42" s="33"/>
      <c r="AK42" s="5">
        <f>Rentenanstalt!E44</f>
        <v>25902163.09266</v>
      </c>
      <c r="AL42" s="71" t="s">
        <v>138</v>
      </c>
      <c r="AM42" s="72">
        <f>IF(AK$42&gt;0,AK$42/AL$48,0)</f>
        <v>0.5547028121043732</v>
      </c>
      <c r="AN42" s="15"/>
      <c r="AO42" s="5">
        <f>Winterthur!E44</f>
        <v>23834838</v>
      </c>
      <c r="AP42" s="71" t="s">
        <v>138</v>
      </c>
      <c r="AQ42" s="57">
        <f>IF(AO$42&gt;0,AO$42/AP$48,0)</f>
        <v>0.6001263559712386</v>
      </c>
      <c r="AR42" s="33"/>
      <c r="AS42" s="5">
        <f>Zenith!E44</f>
        <v>33271</v>
      </c>
      <c r="AT42" s="71" t="s">
        <v>138</v>
      </c>
      <c r="AU42" s="72">
        <f>IF(AS$42&gt;0,AS$42/AT$48,0)</f>
        <v>0.47439887966692906</v>
      </c>
      <c r="AV42" s="15"/>
      <c r="AW42" s="5">
        <f>Zuerich!E44</f>
        <v>4753509</v>
      </c>
      <c r="AX42" s="71" t="s">
        <v>138</v>
      </c>
      <c r="AY42" s="57">
        <f>IF(AW$42&gt;0,AW$42/AX$48,0)</f>
        <v>0.6915762915198271</v>
      </c>
      <c r="AZ42" s="34"/>
      <c r="BA42" s="5">
        <f t="shared" si="0"/>
        <v>73172656.66756</v>
      </c>
      <c r="BB42" s="71" t="s">
        <v>138</v>
      </c>
      <c r="BC42" s="72">
        <f>IF(BA$42&gt;0,BA$42/BB$48,0)</f>
        <v>0.569845319436451</v>
      </c>
    </row>
    <row r="43" spans="1:55" ht="12.75">
      <c r="A43" s="25"/>
      <c r="B43" s="25"/>
      <c r="C43" s="25" t="s">
        <v>29</v>
      </c>
      <c r="D43" s="33"/>
      <c r="E43" s="5">
        <f>'Allianz Suisse'!E45</f>
        <v>1392642.2489999998</v>
      </c>
      <c r="F43" s="71" t="s">
        <v>138</v>
      </c>
      <c r="G43" s="72">
        <f>IF(E$43&gt;0,E$43/F$48,0)</f>
        <v>0.2249600418488582</v>
      </c>
      <c r="H43" s="15"/>
      <c r="I43" s="5">
        <f>Basler!E45</f>
        <v>2243449.7330000005</v>
      </c>
      <c r="J43" s="71" t="s">
        <v>138</v>
      </c>
      <c r="K43" s="57">
        <f>IF(I$43&gt;0,I$43/J$48,0)</f>
        <v>0.18436837794669242</v>
      </c>
      <c r="L43" s="33"/>
      <c r="M43" s="5">
        <f>Generali!E45</f>
        <v>84004.30375</v>
      </c>
      <c r="N43" s="71" t="s">
        <v>138</v>
      </c>
      <c r="O43" s="72">
        <f>IF(M$43&gt;0,M$43/N$48,0)</f>
        <v>0.222616610141269</v>
      </c>
      <c r="P43" s="15"/>
      <c r="Q43" s="5">
        <f>Helvetia!E45</f>
        <v>1860756.1142</v>
      </c>
      <c r="R43" s="71" t="s">
        <v>138</v>
      </c>
      <c r="S43" s="57">
        <f>IF(Q$43&gt;0,Q$43/R$48,0)</f>
        <v>0.18582716298796598</v>
      </c>
      <c r="T43" s="33"/>
      <c r="U43" s="5">
        <f>Mobiliar!E45</f>
        <v>131195.4</v>
      </c>
      <c r="V43" s="71" t="s">
        <v>138</v>
      </c>
      <c r="W43" s="72">
        <f>IF(U$43&gt;0,U$43/V$48,0)</f>
        <v>0.06529847301234458</v>
      </c>
      <c r="X43" s="15"/>
      <c r="Y43" s="5">
        <f>Nationale!E45</f>
        <v>50408</v>
      </c>
      <c r="Z43" s="71" t="s">
        <v>138</v>
      </c>
      <c r="AA43" s="57">
        <f>IF(Y$43&gt;0,Y$43/Z$48,0)</f>
        <v>0.03197207200693126</v>
      </c>
      <c r="AB43" s="33"/>
      <c r="AC43" s="5">
        <f>Pax!E45</f>
        <v>338483</v>
      </c>
      <c r="AD43" s="71" t="s">
        <v>138</v>
      </c>
      <c r="AE43" s="72">
        <f>IF(AC$43&gt;0,AC$43/AD$48,0)</f>
        <v>0.13006749110708204</v>
      </c>
      <c r="AF43" s="15"/>
      <c r="AG43" s="5">
        <f>Phenix!E45</f>
        <v>380</v>
      </c>
      <c r="AH43" s="71" t="s">
        <v>138</v>
      </c>
      <c r="AI43" s="57">
        <f>IF(AG$43&gt;0,AG$43/AH$48,0)</f>
        <v>0.0033151870463428252</v>
      </c>
      <c r="AJ43" s="33"/>
      <c r="AK43" s="5">
        <f>Rentenanstalt!E45</f>
        <v>6247606.578749999</v>
      </c>
      <c r="AL43" s="71" t="s">
        <v>138</v>
      </c>
      <c r="AM43" s="72">
        <f>IF(AK$43&gt;0,AK$43/AL$48,0)</f>
        <v>0.1337944219468087</v>
      </c>
      <c r="AN43" s="15"/>
      <c r="AO43" s="5">
        <f>Winterthur!E45</f>
        <v>5217890</v>
      </c>
      <c r="AP43" s="71" t="s">
        <v>138</v>
      </c>
      <c r="AQ43" s="57">
        <f>IF(AO$43&gt;0,AO$43/AP$48,0)</f>
        <v>0.13137883763081445</v>
      </c>
      <c r="AR43" s="33"/>
      <c r="AS43" s="5">
        <f>Zenith!E45</f>
        <v>0</v>
      </c>
      <c r="AT43" s="71" t="s">
        <v>138</v>
      </c>
      <c r="AU43" s="72">
        <f>IF(AS$43&gt;0,AS$43/AT$48,0)</f>
        <v>0</v>
      </c>
      <c r="AV43" s="15"/>
      <c r="AW43" s="5">
        <f>Zuerich!E45</f>
        <v>1105678.09925</v>
      </c>
      <c r="AX43" s="71" t="s">
        <v>138</v>
      </c>
      <c r="AY43" s="57">
        <f>IF(AW$43&gt;0,AW$43/AX$48,0)</f>
        <v>0.16086237756024158</v>
      </c>
      <c r="AZ43" s="34"/>
      <c r="BA43" s="5">
        <f t="shared" si="0"/>
        <v>18672493.47795</v>
      </c>
      <c r="BB43" s="71" t="s">
        <v>138</v>
      </c>
      <c r="BC43" s="72">
        <f>IF(BA$43&gt;0,BA$43/BB$48,0)</f>
        <v>0.1454154255866282</v>
      </c>
    </row>
    <row r="44" spans="1:55" ht="12.75">
      <c r="A44" s="25"/>
      <c r="B44" s="25"/>
      <c r="C44" s="25" t="s">
        <v>30</v>
      </c>
      <c r="D44" s="33"/>
      <c r="E44" s="5">
        <f>'Allianz Suisse'!E46</f>
        <v>554287.256</v>
      </c>
      <c r="F44" s="71" t="s">
        <v>138</v>
      </c>
      <c r="G44" s="72">
        <f>IF(E$44&gt;0,E$44/F$48,0)</f>
        <v>0.08953662320354379</v>
      </c>
      <c r="H44" s="15"/>
      <c r="I44" s="5">
        <f>Basler!E46</f>
        <v>733017.5750000001</v>
      </c>
      <c r="J44" s="71" t="s">
        <v>138</v>
      </c>
      <c r="K44" s="57">
        <f>IF(I$44&gt;0,I$44/J$48,0)</f>
        <v>0.06023993286822974</v>
      </c>
      <c r="L44" s="33"/>
      <c r="M44" s="5">
        <f>Generali!E46</f>
        <v>17839.82572</v>
      </c>
      <c r="N44" s="71" t="s">
        <v>138</v>
      </c>
      <c r="O44" s="72">
        <f>IF(M$44&gt;0,M$44/N$48,0)</f>
        <v>0.047276643576697974</v>
      </c>
      <c r="P44" s="15"/>
      <c r="Q44" s="5">
        <f>Helvetia!E46</f>
        <v>787874.25003</v>
      </c>
      <c r="R44" s="71" t="s">
        <v>138</v>
      </c>
      <c r="S44" s="57">
        <f>IF(Q$44&gt;0,Q$44/R$48,0)</f>
        <v>0.07868222791641453</v>
      </c>
      <c r="T44" s="33"/>
      <c r="U44" s="5">
        <f>Mobiliar!E46</f>
        <v>295161.2</v>
      </c>
      <c r="V44" s="71" t="s">
        <v>138</v>
      </c>
      <c r="W44" s="72">
        <f>IF(U$44&gt;0,U$44/V$48,0)</f>
        <v>0.14690740416578052</v>
      </c>
      <c r="X44" s="15"/>
      <c r="Y44" s="5">
        <f>Nationale!E46</f>
        <v>64075</v>
      </c>
      <c r="Z44" s="71" t="s">
        <v>138</v>
      </c>
      <c r="AA44" s="57">
        <f>IF(Y$44&gt;0,Y$44/Z$48,0)</f>
        <v>0.040640583118634346</v>
      </c>
      <c r="AB44" s="33"/>
      <c r="AC44" s="5">
        <f>Pax!E46</f>
        <v>131556.335</v>
      </c>
      <c r="AD44" s="71" t="s">
        <v>138</v>
      </c>
      <c r="AE44" s="72">
        <f>IF(AC$44&gt;0,AC$44/AD$48,0)</f>
        <v>0.050552619873650395</v>
      </c>
      <c r="AF44" s="15"/>
      <c r="AG44" s="5">
        <f>Phenix!E46</f>
        <v>1390</v>
      </c>
      <c r="AH44" s="71" t="s">
        <v>138</v>
      </c>
      <c r="AI44" s="57">
        <f>IF(AG$44&gt;0,AG$44/AH$48,0)</f>
        <v>0.012126605248464544</v>
      </c>
      <c r="AJ44" s="33"/>
      <c r="AK44" s="5">
        <f>Rentenanstalt!E46</f>
        <v>3514453.00582</v>
      </c>
      <c r="AL44" s="71" t="s">
        <v>138</v>
      </c>
      <c r="AM44" s="72">
        <f>IF(AK$44&gt;0,AK$44/AL$48,0)</f>
        <v>0.07526309514626801</v>
      </c>
      <c r="AN44" s="15"/>
      <c r="AO44" s="5">
        <f>Winterthur!E46</f>
        <v>1826377</v>
      </c>
      <c r="AP44" s="71" t="s">
        <v>138</v>
      </c>
      <c r="AQ44" s="57">
        <f>IF(AO$44&gt;0,AO$44/AP$48,0)</f>
        <v>0.04598550129183521</v>
      </c>
      <c r="AR44" s="33"/>
      <c r="AS44" s="5">
        <f>Zenith!E46</f>
        <v>25877</v>
      </c>
      <c r="AT44" s="71" t="s">
        <v>138</v>
      </c>
      <c r="AU44" s="72">
        <f>IF(AS$44&gt;0,AS$44/AT$48,0)</f>
        <v>0.3689705692387101</v>
      </c>
      <c r="AV44" s="15"/>
      <c r="AW44" s="5">
        <f>Zuerich!E46</f>
        <v>783277</v>
      </c>
      <c r="AX44" s="71" t="s">
        <v>138</v>
      </c>
      <c r="AY44" s="57">
        <f>IF(AW$44&gt;0,AW$44/AX$48,0)</f>
        <v>0.11395703739969266</v>
      </c>
      <c r="AZ44" s="34"/>
      <c r="BA44" s="5">
        <f t="shared" si="0"/>
        <v>8735185.44757</v>
      </c>
      <c r="BB44" s="71" t="s">
        <v>138</v>
      </c>
      <c r="BC44" s="72">
        <f>IF(BA$44&gt;0,BA$44/BB$48,0)</f>
        <v>0.06802683910086807</v>
      </c>
    </row>
    <row r="45" spans="1:55" ht="12.75">
      <c r="A45" s="25"/>
      <c r="B45" s="25"/>
      <c r="C45" s="25" t="s">
        <v>31</v>
      </c>
      <c r="D45" s="33"/>
      <c r="E45" s="5">
        <f>'Allianz Suisse'!E47</f>
        <v>0</v>
      </c>
      <c r="F45" s="71" t="s">
        <v>138</v>
      </c>
      <c r="G45" s="72">
        <f>IF(E$45&gt;0,E$45/F$48,0)</f>
        <v>0</v>
      </c>
      <c r="H45" s="15"/>
      <c r="I45" s="5">
        <f>Basler!E47</f>
        <v>690248.374</v>
      </c>
      <c r="J45" s="71" t="s">
        <v>138</v>
      </c>
      <c r="K45" s="57">
        <f>IF(I$45&gt;0,I$45/J$48,0)</f>
        <v>0.05672512792365821</v>
      </c>
      <c r="L45" s="33"/>
      <c r="M45" s="5">
        <f>Generali!E47</f>
        <v>0</v>
      </c>
      <c r="N45" s="71" t="s">
        <v>138</v>
      </c>
      <c r="O45" s="72">
        <f>IF(M$45&gt;0,M$45/N$48,0)</f>
        <v>0</v>
      </c>
      <c r="P45" s="15"/>
      <c r="Q45" s="5">
        <f>Helvetia!E47</f>
        <v>171796.43385</v>
      </c>
      <c r="R45" s="71" t="s">
        <v>138</v>
      </c>
      <c r="S45" s="57">
        <f>IF(Q$45&gt;0,Q$45/R$48,0)</f>
        <v>0.017156705099701165</v>
      </c>
      <c r="T45" s="33"/>
      <c r="U45" s="5">
        <f>Mobiliar!E47</f>
        <v>0</v>
      </c>
      <c r="V45" s="71" t="s">
        <v>138</v>
      </c>
      <c r="W45" s="72">
        <f>IF(U$45&gt;0,U$45/V$48,0)</f>
        <v>0</v>
      </c>
      <c r="X45" s="15"/>
      <c r="Y45" s="5">
        <f>Nationale!E47</f>
        <v>83284</v>
      </c>
      <c r="Z45" s="71" t="s">
        <v>138</v>
      </c>
      <c r="AA45" s="57">
        <f>IF(Y$45&gt;0,Y$45/Z$48,0)</f>
        <v>0.05282419546550672</v>
      </c>
      <c r="AB45" s="33"/>
      <c r="AC45" s="5">
        <f>Pax!E47</f>
        <v>0</v>
      </c>
      <c r="AD45" s="71" t="s">
        <v>138</v>
      </c>
      <c r="AE45" s="72">
        <f>IF(AC$45&gt;0,AC$45/AD$48,0)</f>
        <v>0</v>
      </c>
      <c r="AF45" s="15"/>
      <c r="AG45" s="5">
        <f>Phenix!E47</f>
        <v>0</v>
      </c>
      <c r="AH45" s="71" t="s">
        <v>138</v>
      </c>
      <c r="AI45" s="57">
        <f>IF(AG$45&gt;0,AG$45/AH$48,0)</f>
        <v>0</v>
      </c>
      <c r="AJ45" s="33"/>
      <c r="AK45" s="5">
        <f>Rentenanstalt!E47</f>
        <v>4185387.93703</v>
      </c>
      <c r="AL45" s="71" t="s">
        <v>138</v>
      </c>
      <c r="AM45" s="72">
        <f>IF(AK$45&gt;0,AK$45/AL$48,0)</f>
        <v>0.08963137364678848</v>
      </c>
      <c r="AN45" s="15"/>
      <c r="AO45" s="5">
        <f>Winterthur!E47</f>
        <v>1508995</v>
      </c>
      <c r="AP45" s="71" t="s">
        <v>138</v>
      </c>
      <c r="AQ45" s="57">
        <f>IF(AO$45&gt;0,AO$45/AP$48,0)</f>
        <v>0.03799428678847405</v>
      </c>
      <c r="AR45" s="33"/>
      <c r="AS45" s="5">
        <f>Zenith!E47</f>
        <v>0</v>
      </c>
      <c r="AT45" s="71" t="s">
        <v>138</v>
      </c>
      <c r="AU45" s="72">
        <f>IF(AS$45&gt;0,AS$45/AT$48,0)</f>
        <v>0</v>
      </c>
      <c r="AV45" s="15"/>
      <c r="AW45" s="5">
        <f>Zuerich!E47</f>
        <v>0</v>
      </c>
      <c r="AX45" s="71" t="s">
        <v>138</v>
      </c>
      <c r="AY45" s="57">
        <f>IF(AW$45&gt;0,AW$45/AX$48,0)</f>
        <v>0</v>
      </c>
      <c r="AZ45" s="34"/>
      <c r="BA45" s="5">
        <f t="shared" si="0"/>
        <v>6639711.74488</v>
      </c>
      <c r="BB45" s="71" t="s">
        <v>138</v>
      </c>
      <c r="BC45" s="72">
        <f>IF(BA$45&gt;0,BA$45/BB$48,0)</f>
        <v>0.051707958034336414</v>
      </c>
    </row>
    <row r="46" spans="1:55" ht="12.75">
      <c r="A46" s="25"/>
      <c r="B46" s="25"/>
      <c r="C46" s="25" t="s">
        <v>32</v>
      </c>
      <c r="D46" s="33"/>
      <c r="E46" s="5">
        <f>'Allianz Suisse'!E48</f>
        <v>195000</v>
      </c>
      <c r="F46" s="71" t="s">
        <v>138</v>
      </c>
      <c r="G46" s="72">
        <f>IF(E$46&gt;0,E$46/F$48,0)</f>
        <v>0.0314992656527738</v>
      </c>
      <c r="H46" s="15"/>
      <c r="I46" s="5">
        <f>Basler!E48</f>
        <v>182085.164</v>
      </c>
      <c r="J46" s="71" t="s">
        <v>138</v>
      </c>
      <c r="K46" s="57">
        <f>IF(I$46&gt;0,I$46/J$48,0)</f>
        <v>0.01496389504120771</v>
      </c>
      <c r="L46" s="33"/>
      <c r="M46" s="5">
        <f>Generali!E48</f>
        <v>0</v>
      </c>
      <c r="N46" s="71" t="s">
        <v>138</v>
      </c>
      <c r="O46" s="72">
        <f>IF(M$46&gt;0,M$46/N$48,0)</f>
        <v>0</v>
      </c>
      <c r="P46" s="15"/>
      <c r="Q46" s="5">
        <f>Helvetia!E48</f>
        <v>51274.25683</v>
      </c>
      <c r="R46" s="71" t="s">
        <v>138</v>
      </c>
      <c r="S46" s="57">
        <f>IF(Q$46&gt;0,Q$46/R$48,0)</f>
        <v>0.005120579536631914</v>
      </c>
      <c r="T46" s="33"/>
      <c r="U46" s="5">
        <f>Mobiliar!E48</f>
        <v>0</v>
      </c>
      <c r="V46" s="71" t="s">
        <v>138</v>
      </c>
      <c r="W46" s="72">
        <f>IF(U$46&gt;0,U$46/V$48,0)</f>
        <v>0</v>
      </c>
      <c r="X46" s="15"/>
      <c r="Y46" s="5">
        <f>Nationale!E48</f>
        <v>8705</v>
      </c>
      <c r="Z46" s="71" t="s">
        <v>138</v>
      </c>
      <c r="AA46" s="57">
        <f>IF(Y$46&gt;0,Y$46/Z$48,0)</f>
        <v>0.005521284058489458</v>
      </c>
      <c r="AB46" s="33"/>
      <c r="AC46" s="5">
        <f>Pax!E48</f>
        <v>0</v>
      </c>
      <c r="AD46" s="71" t="s">
        <v>138</v>
      </c>
      <c r="AE46" s="72">
        <f>IF(AC$46&gt;0,AC$46/AD$48,0)</f>
        <v>0</v>
      </c>
      <c r="AF46" s="15"/>
      <c r="AG46" s="5">
        <f>Phenix!E48</f>
        <v>0</v>
      </c>
      <c r="AH46" s="71" t="s">
        <v>138</v>
      </c>
      <c r="AI46" s="57">
        <f>IF(AG$46&gt;0,AG$46/AH$48,0)</f>
        <v>0</v>
      </c>
      <c r="AJ46" s="33"/>
      <c r="AK46" s="5">
        <f>Rentenanstalt!E48</f>
        <v>381455.46597</v>
      </c>
      <c r="AL46" s="71" t="s">
        <v>138</v>
      </c>
      <c r="AM46" s="72">
        <f>IF(AK$46&gt;0,AK$46/AL$48,0)</f>
        <v>0.008168986462991712</v>
      </c>
      <c r="AN46" s="15"/>
      <c r="AO46" s="5">
        <f>Winterthur!E48</f>
        <v>601482</v>
      </c>
      <c r="AP46" s="71" t="s">
        <v>138</v>
      </c>
      <c r="AQ46" s="57">
        <f>IF(AO$46&gt;0,AO$46/AP$48,0)</f>
        <v>0.015144436930609411</v>
      </c>
      <c r="AR46" s="33"/>
      <c r="AS46" s="5">
        <f>Zenith!E48</f>
        <v>0</v>
      </c>
      <c r="AT46" s="71" t="s">
        <v>138</v>
      </c>
      <c r="AU46" s="72">
        <f>IF(AS$46&gt;0,AS$46/AT$48,0)</f>
        <v>0</v>
      </c>
      <c r="AV46" s="15"/>
      <c r="AW46" s="5">
        <f>Zuerich!E48</f>
        <v>99408</v>
      </c>
      <c r="AX46" s="71" t="s">
        <v>138</v>
      </c>
      <c r="AY46" s="57">
        <f>IF(AW$46&gt;0,AW$46/AX$48,0)</f>
        <v>0.014462624555334381</v>
      </c>
      <c r="AZ46" s="34"/>
      <c r="BA46" s="5">
        <f t="shared" si="0"/>
        <v>1519409.8868</v>
      </c>
      <c r="BB46" s="71" t="s">
        <v>138</v>
      </c>
      <c r="BC46" s="72">
        <f>IF(BA$46&gt;0,BA$46/BB$48,0)</f>
        <v>0.011832679743091793</v>
      </c>
    </row>
    <row r="47" spans="1:55" ht="12.75">
      <c r="A47" s="25"/>
      <c r="B47" s="25"/>
      <c r="C47" s="25" t="s">
        <v>33</v>
      </c>
      <c r="D47" s="33"/>
      <c r="E47" s="5">
        <f>'Allianz Suisse'!E49</f>
        <v>794820.243</v>
      </c>
      <c r="F47" s="71" t="s">
        <v>138</v>
      </c>
      <c r="G47" s="72">
        <f>IF(E$47&gt;0,E$47/F$48,0)</f>
        <v>0.12839104605363705</v>
      </c>
      <c r="H47" s="15"/>
      <c r="I47" s="5">
        <f>Basler!E49</f>
        <v>1551589.137</v>
      </c>
      <c r="J47" s="71" t="s">
        <v>138</v>
      </c>
      <c r="K47" s="57">
        <f>IF(I$47&gt;0,I$47/J$48,0)</f>
        <v>0.12751075641256557</v>
      </c>
      <c r="L47" s="33"/>
      <c r="M47" s="5">
        <f>Generali!E49</f>
        <v>68354.20125</v>
      </c>
      <c r="N47" s="71" t="s">
        <v>138</v>
      </c>
      <c r="O47" s="72">
        <f>IF(M$47&gt;0,M$47/N$48,0)</f>
        <v>0.18114286878056637</v>
      </c>
      <c r="P47" s="15"/>
      <c r="Q47" s="5">
        <f>Helvetia!E49</f>
        <v>1384296.4309599998</v>
      </c>
      <c r="R47" s="71" t="s">
        <v>138</v>
      </c>
      <c r="S47" s="57">
        <f>IF(Q$47&gt;0,Q$47/R$48,0)</f>
        <v>0.13824481163145838</v>
      </c>
      <c r="T47" s="33"/>
      <c r="U47" s="5">
        <f>Mobiliar!E49</f>
        <v>68483</v>
      </c>
      <c r="V47" s="71" t="s">
        <v>138</v>
      </c>
      <c r="W47" s="72">
        <f>IF(U$47&gt;0,U$47/V$48,0)</f>
        <v>0.034085305790480414</v>
      </c>
      <c r="X47" s="15"/>
      <c r="Y47" s="5">
        <f>Nationale!E49</f>
        <v>171162</v>
      </c>
      <c r="Z47" s="71" t="s">
        <v>138</v>
      </c>
      <c r="AA47" s="57">
        <f>IF(Y$47&gt;0,Y$47/Z$48,0)</f>
        <v>0.10856220815843454</v>
      </c>
      <c r="AB47" s="33"/>
      <c r="AC47" s="5">
        <f>Pax!E49</f>
        <v>396578</v>
      </c>
      <c r="AD47" s="71" t="s">
        <v>138</v>
      </c>
      <c r="AE47" s="72">
        <f>IF(AC$47&gt;0,AC$47/AD$48,0)</f>
        <v>0.15239142139565173</v>
      </c>
      <c r="AF47" s="15"/>
      <c r="AG47" s="5">
        <f>Phenix!E49</f>
        <v>8605</v>
      </c>
      <c r="AH47" s="71" t="s">
        <v>138</v>
      </c>
      <c r="AI47" s="57">
        <f>IF(AG$47&gt;0,AG$47/AH$48,0)</f>
        <v>0.0750715382467895</v>
      </c>
      <c r="AJ47" s="33"/>
      <c r="AK47" s="5">
        <f>Rentenanstalt!E49</f>
        <v>4936236.637320001</v>
      </c>
      <c r="AL47" s="71" t="s">
        <v>138</v>
      </c>
      <c r="AM47" s="72">
        <f>IF(AK$47&gt;0,AK$47/AL$48,0)</f>
        <v>0.10571103016141377</v>
      </c>
      <c r="AN47" s="15"/>
      <c r="AO47" s="5">
        <f>Winterthur!E49</f>
        <v>5893975</v>
      </c>
      <c r="AP47" s="71" t="s">
        <v>138</v>
      </c>
      <c r="AQ47" s="57">
        <f>IF(AO$47&gt;0,AO$47/AP$48,0)</f>
        <v>0.14840166897444745</v>
      </c>
      <c r="AR47" s="33"/>
      <c r="AS47" s="5">
        <f>Zenith!E49</f>
        <v>0</v>
      </c>
      <c r="AT47" s="71" t="s">
        <v>138</v>
      </c>
      <c r="AU47" s="72">
        <f>IF(AS$47&gt;0,AS$47/AT$48,0)</f>
        <v>0</v>
      </c>
      <c r="AV47" s="15"/>
      <c r="AW47" s="5">
        <f>Zuerich!E49</f>
        <v>0</v>
      </c>
      <c r="AX47" s="71" t="s">
        <v>138</v>
      </c>
      <c r="AY47" s="57">
        <f>IF(AW$47&gt;0,AW$47/AX$48,0)</f>
        <v>0</v>
      </c>
      <c r="AZ47" s="34"/>
      <c r="BA47" s="5">
        <f t="shared" si="0"/>
        <v>15274099.649530001</v>
      </c>
      <c r="BB47" s="71" t="s">
        <v>138</v>
      </c>
      <c r="BC47" s="72">
        <f>IF(BA$47&gt;0,BA$47/BB$48,0)</f>
        <v>0.11894981800967383</v>
      </c>
    </row>
    <row r="48" spans="1:55" ht="13.5" thickBot="1">
      <c r="A48" s="25"/>
      <c r="B48" s="25"/>
      <c r="C48" s="25" t="s">
        <v>34</v>
      </c>
      <c r="D48" s="33"/>
      <c r="E48" s="5">
        <f>'Allianz Suisse'!E50</f>
        <v>0</v>
      </c>
      <c r="F48" s="55">
        <f>SUM(E$41:E$48)</f>
        <v>6190620.51</v>
      </c>
      <c r="G48" s="72">
        <f>IF(E$48&gt;0,E$48/F$48,0)</f>
        <v>0</v>
      </c>
      <c r="H48" s="15"/>
      <c r="I48" s="5">
        <f>Basler!E50</f>
        <v>433244.477</v>
      </c>
      <c r="J48" s="55">
        <f>SUM(I$41:I$48)</f>
        <v>12168299.998</v>
      </c>
      <c r="K48" s="57">
        <f>IF(I$48&gt;0,I$48/J$48,0)</f>
        <v>0.035604355338971654</v>
      </c>
      <c r="L48" s="33"/>
      <c r="M48" s="5">
        <f>Generali!E50</f>
        <v>0</v>
      </c>
      <c r="N48" s="55">
        <f>SUM(M$41:M$48)</f>
        <v>377349.6672</v>
      </c>
      <c r="O48" s="72">
        <f>IF(M$48&gt;0,M$48/N$48,0)</f>
        <v>0</v>
      </c>
      <c r="P48" s="15"/>
      <c r="Q48" s="5">
        <f>Helvetia!E50</f>
        <v>5044.473</v>
      </c>
      <c r="R48" s="55">
        <f>SUM(Q$41:Q$48)</f>
        <v>10013369.866279997</v>
      </c>
      <c r="S48" s="57">
        <f>IF(Q$48&gt;0,Q$48/R$48,0)</f>
        <v>0.0005037737612177148</v>
      </c>
      <c r="T48" s="33"/>
      <c r="U48" s="5">
        <f>Mobiliar!E50</f>
        <v>0</v>
      </c>
      <c r="V48" s="55">
        <f>SUM(U$41:U$48)</f>
        <v>2009164.9</v>
      </c>
      <c r="W48" s="72">
        <f>IF(U$48&gt;0,U$48/V$48,0)</f>
        <v>0</v>
      </c>
      <c r="X48" s="15"/>
      <c r="Y48" s="5">
        <f>Nationale!E50</f>
        <v>0</v>
      </c>
      <c r="Z48" s="55">
        <f>SUM(Y$41:Y$48)</f>
        <v>1576626</v>
      </c>
      <c r="AA48" s="57">
        <f>IF(Y$48&gt;0,Y$48/Z$48,0)</f>
        <v>0</v>
      </c>
      <c r="AB48" s="33"/>
      <c r="AC48" s="5">
        <f>Pax!E50</f>
        <v>0</v>
      </c>
      <c r="AD48" s="55">
        <f>SUM(AC$41:AC$48)</f>
        <v>2602364.335</v>
      </c>
      <c r="AE48" s="72">
        <f>IF(AC$48&gt;0,AC$48/AD$48,0)</f>
        <v>0</v>
      </c>
      <c r="AF48" s="15"/>
      <c r="AG48" s="5">
        <f>Phenix!E50</f>
        <v>0</v>
      </c>
      <c r="AH48" s="55">
        <f>SUM(AG$41:AG$48)</f>
        <v>114624</v>
      </c>
      <c r="AI48" s="57">
        <f>IF(AG$48&gt;0,AG$48/AH$48,0)</f>
        <v>0</v>
      </c>
      <c r="AJ48" s="33"/>
      <c r="AK48" s="5">
        <f>Rentenanstalt!E50</f>
        <v>192234.67930000002</v>
      </c>
      <c r="AL48" s="55">
        <f>SUM(AK$41:AK$48)</f>
        <v>46695568.37903001</v>
      </c>
      <c r="AM48" s="72">
        <f>IF(AK$48&gt;0,AK$48/AL$48,0)</f>
        <v>0.004116764951646429</v>
      </c>
      <c r="AN48" s="15"/>
      <c r="AO48" s="5">
        <f>Winterthur!E50</f>
        <v>18194</v>
      </c>
      <c r="AP48" s="55">
        <f>SUM(AO$41:AO$48)</f>
        <v>39716366</v>
      </c>
      <c r="AQ48" s="57">
        <f>IF(AO$48&gt;0,AO$48/AP$48,0)</f>
        <v>0.0004580983063757646</v>
      </c>
      <c r="AR48" s="33"/>
      <c r="AS48" s="5">
        <f>Zenith!E50</f>
        <v>0</v>
      </c>
      <c r="AT48" s="55">
        <f>SUM(AS$41:AS$48)</f>
        <v>70132.96495</v>
      </c>
      <c r="AU48" s="72">
        <f>IF(AS$48&gt;0,AS$48/AT$48,0)</f>
        <v>0</v>
      </c>
      <c r="AV48" s="15"/>
      <c r="AW48" s="5">
        <f>Zuerich!E50</f>
        <v>31461.39504</v>
      </c>
      <c r="AX48" s="55">
        <f>SUM(AW$41:AW$48)</f>
        <v>6873441.23604</v>
      </c>
      <c r="AY48" s="57">
        <f>IF(AW$48&gt;0,AW$48/AX$48,0)</f>
        <v>0.004577240709506069</v>
      </c>
      <c r="AZ48" s="34"/>
      <c r="BA48" s="5">
        <f t="shared" si="0"/>
        <v>680179.02434</v>
      </c>
      <c r="BB48" s="55">
        <f>SUM(BA$41:BA$48)</f>
        <v>128407927.8565</v>
      </c>
      <c r="BC48" s="72">
        <f>IF(BA$48&gt;0,BA$48/BB$48,0)</f>
        <v>0.005297017370299146</v>
      </c>
    </row>
    <row r="49" spans="1:55" ht="12.75">
      <c r="A49" s="25"/>
      <c r="B49" s="25"/>
      <c r="C49" s="25"/>
      <c r="D49" s="33"/>
      <c r="E49" s="6"/>
      <c r="F49" s="6"/>
      <c r="G49" s="12"/>
      <c r="H49" s="15"/>
      <c r="I49" s="6"/>
      <c r="J49" s="6"/>
      <c r="K49" s="15"/>
      <c r="L49" s="33"/>
      <c r="M49" s="6"/>
      <c r="N49" s="6"/>
      <c r="O49" s="12"/>
      <c r="P49" s="15"/>
      <c r="Q49" s="6"/>
      <c r="R49" s="6"/>
      <c r="S49" s="15"/>
      <c r="T49" s="33"/>
      <c r="U49" s="6"/>
      <c r="V49" s="6"/>
      <c r="W49" s="12"/>
      <c r="X49" s="15"/>
      <c r="Y49" s="6"/>
      <c r="Z49" s="6"/>
      <c r="AA49" s="15"/>
      <c r="AB49" s="33"/>
      <c r="AC49" s="6"/>
      <c r="AD49" s="6"/>
      <c r="AE49" s="12"/>
      <c r="AF49" s="15"/>
      <c r="AG49" s="6"/>
      <c r="AH49" s="6"/>
      <c r="AI49" s="15"/>
      <c r="AJ49" s="33"/>
      <c r="AK49" s="6"/>
      <c r="AL49" s="6"/>
      <c r="AM49" s="12"/>
      <c r="AN49" s="15"/>
      <c r="AO49" s="6"/>
      <c r="AP49" s="6"/>
      <c r="AQ49" s="15"/>
      <c r="AR49" s="33"/>
      <c r="AS49" s="6"/>
      <c r="AT49" s="6"/>
      <c r="AU49" s="12"/>
      <c r="AV49" s="15"/>
      <c r="AW49" s="6"/>
      <c r="AX49" s="6"/>
      <c r="AY49" s="15"/>
      <c r="AZ49" s="34"/>
      <c r="BA49" s="6"/>
      <c r="BB49" s="6"/>
      <c r="BC49" s="13"/>
    </row>
    <row r="50" spans="1:55" ht="12.75">
      <c r="A50" s="48" t="s">
        <v>92</v>
      </c>
      <c r="B50" s="25"/>
      <c r="C50" s="25"/>
      <c r="D50" s="33"/>
      <c r="E50" s="6"/>
      <c r="F50" s="6"/>
      <c r="G50" s="12"/>
      <c r="H50" s="15"/>
      <c r="I50" s="6"/>
      <c r="J50" s="6"/>
      <c r="K50" s="15"/>
      <c r="L50" s="33"/>
      <c r="M50" s="6"/>
      <c r="N50" s="6"/>
      <c r="O50" s="12"/>
      <c r="P50" s="15"/>
      <c r="Q50" s="6"/>
      <c r="R50" s="6"/>
      <c r="S50" s="15"/>
      <c r="T50" s="33"/>
      <c r="U50" s="6"/>
      <c r="V50" s="6"/>
      <c r="W50" s="12"/>
      <c r="X50" s="15"/>
      <c r="Y50" s="6"/>
      <c r="Z50" s="6"/>
      <c r="AA50" s="15"/>
      <c r="AB50" s="33"/>
      <c r="AC50" s="6"/>
      <c r="AD50" s="6"/>
      <c r="AE50" s="12"/>
      <c r="AF50" s="15"/>
      <c r="AG50" s="6"/>
      <c r="AH50" s="6"/>
      <c r="AI50" s="15"/>
      <c r="AJ50" s="33"/>
      <c r="AK50" s="6"/>
      <c r="AL50" s="6"/>
      <c r="AM50" s="12"/>
      <c r="AN50" s="15"/>
      <c r="AO50" s="6"/>
      <c r="AP50" s="6"/>
      <c r="AQ50" s="15"/>
      <c r="AR50" s="33"/>
      <c r="AS50" s="6"/>
      <c r="AT50" s="6"/>
      <c r="AU50" s="12"/>
      <c r="AV50" s="15"/>
      <c r="AW50" s="6"/>
      <c r="AX50" s="6"/>
      <c r="AY50" s="15"/>
      <c r="AZ50" s="34"/>
      <c r="BA50" s="6"/>
      <c r="BB50" s="6"/>
      <c r="BC50" s="13"/>
    </row>
    <row r="51" spans="1:55" ht="12.75">
      <c r="A51" s="25"/>
      <c r="B51" s="50" t="s">
        <v>93</v>
      </c>
      <c r="C51" s="25"/>
      <c r="D51" s="33"/>
      <c r="E51" s="15"/>
      <c r="F51" s="15"/>
      <c r="G51" s="12"/>
      <c r="H51" s="15"/>
      <c r="I51" s="15"/>
      <c r="J51" s="15"/>
      <c r="K51" s="15"/>
      <c r="L51" s="33"/>
      <c r="M51" s="15"/>
      <c r="N51" s="15"/>
      <c r="O51" s="12"/>
      <c r="P51" s="15"/>
      <c r="Q51" s="15"/>
      <c r="R51" s="15"/>
      <c r="S51" s="15"/>
      <c r="T51" s="33"/>
      <c r="U51" s="15"/>
      <c r="V51" s="15"/>
      <c r="W51" s="12"/>
      <c r="X51" s="15"/>
      <c r="Y51" s="15"/>
      <c r="Z51" s="15"/>
      <c r="AA51" s="15"/>
      <c r="AB51" s="33"/>
      <c r="AC51" s="15"/>
      <c r="AD51" s="15"/>
      <c r="AE51" s="12"/>
      <c r="AF51" s="15"/>
      <c r="AG51" s="15"/>
      <c r="AH51" s="15"/>
      <c r="AI51" s="15"/>
      <c r="AJ51" s="33"/>
      <c r="AK51" s="15"/>
      <c r="AL51" s="15"/>
      <c r="AM51" s="12"/>
      <c r="AN51" s="15"/>
      <c r="AO51" s="15"/>
      <c r="AP51" s="15"/>
      <c r="AQ51" s="15"/>
      <c r="AR51" s="33"/>
      <c r="AS51" s="15"/>
      <c r="AT51" s="15"/>
      <c r="AU51" s="12"/>
      <c r="AV51" s="15"/>
      <c r="AW51" s="15"/>
      <c r="AX51" s="15"/>
      <c r="AY51" s="15"/>
      <c r="AZ51" s="34"/>
      <c r="BA51" s="6"/>
      <c r="BB51" s="6"/>
      <c r="BC51" s="13"/>
    </row>
    <row r="52" spans="1:55" ht="12.75">
      <c r="A52" s="25"/>
      <c r="B52" s="25"/>
      <c r="C52" s="25" t="s">
        <v>82</v>
      </c>
      <c r="D52" s="33"/>
      <c r="E52" s="5">
        <f>'Allianz Suisse'!E54</f>
        <v>3328541.654</v>
      </c>
      <c r="F52" s="15"/>
      <c r="G52" s="12"/>
      <c r="H52" s="15"/>
      <c r="I52" s="5">
        <f>Basler!E54</f>
        <v>7379821.861</v>
      </c>
      <c r="J52" s="15"/>
      <c r="K52" s="15"/>
      <c r="L52" s="33"/>
      <c r="M52" s="5">
        <f>Generali!E54</f>
        <v>61375.730100000015</v>
      </c>
      <c r="N52" s="15"/>
      <c r="O52" s="12"/>
      <c r="P52" s="15"/>
      <c r="Q52" s="5">
        <f>Helvetia!E54</f>
        <v>6110975.699554999</v>
      </c>
      <c r="R52" s="15"/>
      <c r="S52" s="15"/>
      <c r="T52" s="33"/>
      <c r="U52" s="5">
        <f>Mobiliar!E54</f>
        <v>0</v>
      </c>
      <c r="V52" s="15"/>
      <c r="W52" s="12"/>
      <c r="X52" s="15"/>
      <c r="Y52" s="5">
        <f>Nationale!E54</f>
        <v>1011743</v>
      </c>
      <c r="Z52" s="15"/>
      <c r="AA52" s="15"/>
      <c r="AB52" s="33"/>
      <c r="AC52" s="5">
        <f>Pax!E54</f>
        <v>1936076.80187</v>
      </c>
      <c r="AD52" s="15"/>
      <c r="AE52" s="12"/>
      <c r="AF52" s="15"/>
      <c r="AG52" s="5">
        <f>Phenix!E54</f>
        <v>83932</v>
      </c>
      <c r="AH52" s="15"/>
      <c r="AI52" s="15"/>
      <c r="AJ52" s="33"/>
      <c r="AK52" s="5">
        <f>Rentenanstalt!E54</f>
        <v>25352981.88595</v>
      </c>
      <c r="AL52" s="15"/>
      <c r="AM52" s="12"/>
      <c r="AN52" s="15"/>
      <c r="AO52" s="5">
        <f>Winterthur!E54</f>
        <v>22745468</v>
      </c>
      <c r="AP52" s="15"/>
      <c r="AQ52" s="15"/>
      <c r="AR52" s="33"/>
      <c r="AS52" s="5">
        <f>Zenith!E54</f>
        <v>0</v>
      </c>
      <c r="AT52" s="15"/>
      <c r="AU52" s="12"/>
      <c r="AV52" s="15"/>
      <c r="AW52" s="5">
        <f>Zuerich!E54</f>
        <v>2049024.8053251943</v>
      </c>
      <c r="AX52" s="15"/>
      <c r="AY52" s="15"/>
      <c r="AZ52" s="34"/>
      <c r="BA52" s="5">
        <f>E52+I52+M52+Q52+U52+Y52+AC52+AG52+AK52+AO52+AS52+AW52</f>
        <v>70059941.4378002</v>
      </c>
      <c r="BB52" s="6"/>
      <c r="BC52" s="13"/>
    </row>
    <row r="53" spans="1:55" ht="12.75">
      <c r="A53" s="25"/>
      <c r="B53" s="25"/>
      <c r="C53" s="25" t="s">
        <v>83</v>
      </c>
      <c r="D53" s="33"/>
      <c r="E53" s="5">
        <f>'Allianz Suisse'!E55</f>
        <v>1351721.008</v>
      </c>
      <c r="F53" s="15"/>
      <c r="G53" s="12"/>
      <c r="H53" s="15"/>
      <c r="I53" s="5">
        <f>Basler!E55</f>
        <v>1996186.4619999998</v>
      </c>
      <c r="J53" s="15"/>
      <c r="K53" s="15"/>
      <c r="L53" s="33"/>
      <c r="M53" s="5">
        <f>Generali!E55</f>
        <v>193985.06620000003</v>
      </c>
      <c r="N53" s="15"/>
      <c r="O53" s="12"/>
      <c r="P53" s="15"/>
      <c r="Q53" s="5">
        <f>Helvetia!E55</f>
        <v>2583131.8508053767</v>
      </c>
      <c r="R53" s="15"/>
      <c r="S53" s="15"/>
      <c r="T53" s="33"/>
      <c r="U53" s="5">
        <f>Mobiliar!E55</f>
        <v>1331435.158</v>
      </c>
      <c r="V53" s="15"/>
      <c r="W53" s="12"/>
      <c r="X53" s="15"/>
      <c r="Y53" s="5">
        <f>Nationale!E55</f>
        <v>413470</v>
      </c>
      <c r="Z53" s="15"/>
      <c r="AA53" s="15"/>
      <c r="AB53" s="33"/>
      <c r="AC53" s="5">
        <f>Pax!E55</f>
        <v>463219.091</v>
      </c>
      <c r="AD53" s="15"/>
      <c r="AE53" s="12"/>
      <c r="AF53" s="15"/>
      <c r="AG53" s="5">
        <f>Phenix!E55</f>
        <v>16533</v>
      </c>
      <c r="AH53" s="15"/>
      <c r="AI53" s="15"/>
      <c r="AJ53" s="33"/>
      <c r="AK53" s="5">
        <f>Rentenanstalt!E55</f>
        <v>10559814.595900001</v>
      </c>
      <c r="AL53" s="15"/>
      <c r="AM53" s="12"/>
      <c r="AN53" s="15"/>
      <c r="AO53" s="5">
        <f>Winterthur!E55</f>
        <v>11175335</v>
      </c>
      <c r="AP53" s="15"/>
      <c r="AQ53" s="15"/>
      <c r="AR53" s="33"/>
      <c r="AS53" s="5">
        <f>Zenith!E55</f>
        <v>9510.684799999999</v>
      </c>
      <c r="AT53" s="15"/>
      <c r="AU53" s="12"/>
      <c r="AV53" s="15"/>
      <c r="AW53" s="5">
        <f>Zuerich!E55</f>
        <v>3165336.8955715075</v>
      </c>
      <c r="AX53" s="15"/>
      <c r="AY53" s="15"/>
      <c r="AZ53" s="34"/>
      <c r="BA53" s="5">
        <f>E53+I53+M53+Q53+U53+Y53+AC53+AG53+AK53+AO53+AS53+AW53</f>
        <v>33259678.812276885</v>
      </c>
      <c r="BB53" s="6"/>
      <c r="BC53" s="13"/>
    </row>
    <row r="54" spans="1:55" ht="12.75">
      <c r="A54" s="25"/>
      <c r="B54" s="25"/>
      <c r="C54" s="25" t="s">
        <v>84</v>
      </c>
      <c r="D54" s="33"/>
      <c r="E54" s="5">
        <f>'Allianz Suisse'!E56</f>
        <v>469998.298</v>
      </c>
      <c r="F54" s="15"/>
      <c r="G54" s="12"/>
      <c r="H54" s="15"/>
      <c r="I54" s="5">
        <f>Basler!E56</f>
        <v>461333.404</v>
      </c>
      <c r="J54" s="15"/>
      <c r="K54" s="15"/>
      <c r="L54" s="33"/>
      <c r="M54" s="5">
        <f>Generali!E56</f>
        <v>61329.96673</v>
      </c>
      <c r="N54" s="15"/>
      <c r="O54" s="12"/>
      <c r="P54" s="15"/>
      <c r="Q54" s="5">
        <f>Helvetia!E56</f>
        <v>261113.782</v>
      </c>
      <c r="R54" s="15"/>
      <c r="S54" s="15"/>
      <c r="T54" s="33"/>
      <c r="U54" s="5">
        <f>Mobiliar!E56</f>
        <v>11798.156</v>
      </c>
      <c r="V54" s="15"/>
      <c r="W54" s="12"/>
      <c r="X54" s="15"/>
      <c r="Y54" s="5">
        <f>Nationale!E56</f>
        <v>30646</v>
      </c>
      <c r="Z54" s="15"/>
      <c r="AA54" s="15"/>
      <c r="AB54" s="33"/>
      <c r="AC54" s="5">
        <f>Pax!E56</f>
        <v>28559.08213</v>
      </c>
      <c r="AD54" s="15"/>
      <c r="AE54" s="12"/>
      <c r="AF54" s="15"/>
      <c r="AG54" s="5">
        <f>Phenix!E56</f>
        <v>5792</v>
      </c>
      <c r="AH54" s="15"/>
      <c r="AI54" s="15"/>
      <c r="AJ54" s="33"/>
      <c r="AK54" s="5">
        <f>Rentenanstalt!E56</f>
        <v>2544128.373</v>
      </c>
      <c r="AL54" s="15"/>
      <c r="AM54" s="12"/>
      <c r="AN54" s="15"/>
      <c r="AO54" s="5">
        <f>Winterthur!E56</f>
        <v>1676686</v>
      </c>
      <c r="AP54" s="15"/>
      <c r="AQ54" s="15"/>
      <c r="AR54" s="33"/>
      <c r="AS54" s="5">
        <f>Zenith!E56</f>
        <v>17837.581</v>
      </c>
      <c r="AT54" s="15"/>
      <c r="AU54" s="12"/>
      <c r="AV54" s="15"/>
      <c r="AW54" s="5">
        <f>Zuerich!E56</f>
        <v>357912.739</v>
      </c>
      <c r="AX54" s="15"/>
      <c r="AY54" s="15"/>
      <c r="AZ54" s="34"/>
      <c r="BA54" s="5">
        <f>E54+I54+M54+Q54+U54+Y54+AC54+AG54+AK54+AO54+AS54+AW54</f>
        <v>5927135.381860001</v>
      </c>
      <c r="BB54" s="6"/>
      <c r="BC54" s="13"/>
    </row>
    <row r="55" spans="1:55" ht="12.75">
      <c r="A55" s="25"/>
      <c r="B55" s="25"/>
      <c r="C55" s="25" t="s">
        <v>94</v>
      </c>
      <c r="D55" s="33"/>
      <c r="E55" s="5">
        <f>'Allianz Suisse'!E57</f>
        <v>491745.101</v>
      </c>
      <c r="F55" s="3">
        <f>SUM(E$52:E$55)</f>
        <v>5642006.061000001</v>
      </c>
      <c r="G55" s="12"/>
      <c r="H55" s="15"/>
      <c r="I55" s="5">
        <f>Basler!E57</f>
        <v>1943633.16</v>
      </c>
      <c r="J55" s="3">
        <f>SUM(I$52:I$55)</f>
        <v>11780974.886999998</v>
      </c>
      <c r="K55" s="15"/>
      <c r="L55" s="33"/>
      <c r="M55" s="5">
        <f>Generali!E57</f>
        <v>23455.123529999997</v>
      </c>
      <c r="N55" s="3">
        <f>SUM(M$52:M$55)</f>
        <v>340145.88656</v>
      </c>
      <c r="O55" s="12"/>
      <c r="P55" s="15"/>
      <c r="Q55" s="5">
        <f>Helvetia!E57</f>
        <v>568248.839165</v>
      </c>
      <c r="R55" s="3">
        <f>SUM(Q$52:Q$55)</f>
        <v>9523470.171525376</v>
      </c>
      <c r="S55" s="15"/>
      <c r="T55" s="33"/>
      <c r="U55" s="5">
        <f>Mobiliar!E57</f>
        <v>437341.056</v>
      </c>
      <c r="V55" s="3">
        <f>SUM(U$52:U$55)</f>
        <v>1780574.37</v>
      </c>
      <c r="W55" s="12"/>
      <c r="X55" s="15"/>
      <c r="Y55" s="5">
        <f>Nationale!E57</f>
        <v>108215</v>
      </c>
      <c r="Z55" s="3">
        <f>SUM(Y$52:Y$55)</f>
        <v>1564074</v>
      </c>
      <c r="AA55" s="15"/>
      <c r="AB55" s="33"/>
      <c r="AC55" s="5">
        <f>Pax!E57</f>
        <v>130948</v>
      </c>
      <c r="AD55" s="3">
        <f>SUM(AC$52:AC$55)</f>
        <v>2558802.975</v>
      </c>
      <c r="AE55" s="12"/>
      <c r="AF55" s="15"/>
      <c r="AG55" s="5">
        <f>Phenix!E57</f>
        <v>2445</v>
      </c>
      <c r="AH55" s="3">
        <f>SUM(AG$52:AG$55)</f>
        <v>108702</v>
      </c>
      <c r="AI55" s="15"/>
      <c r="AJ55" s="33"/>
      <c r="AK55" s="5">
        <f>Rentenanstalt!E57</f>
        <v>5409106.9263900025</v>
      </c>
      <c r="AL55" s="3">
        <f>SUM(AK$52:AK$55)</f>
        <v>43866031.78124</v>
      </c>
      <c r="AM55" s="12"/>
      <c r="AN55" s="15"/>
      <c r="AO55" s="5">
        <f>Winterthur!E57</f>
        <v>1480024</v>
      </c>
      <c r="AP55" s="3">
        <f>SUM(AO$52:AO$55)</f>
        <v>37077513</v>
      </c>
      <c r="AQ55" s="15"/>
      <c r="AR55" s="33"/>
      <c r="AS55" s="5">
        <f>Zenith!E57</f>
        <v>12898.513659999997</v>
      </c>
      <c r="AT55" s="3">
        <f>SUM(AS$52:AS$55)</f>
        <v>40246.77945999999</v>
      </c>
      <c r="AU55" s="12"/>
      <c r="AV55" s="15"/>
      <c r="AW55" s="5">
        <f>Zuerich!E57</f>
        <v>760454.4620283166</v>
      </c>
      <c r="AX55" s="3">
        <f>SUM(AW$52:AW$55)</f>
        <v>6332728.901925018</v>
      </c>
      <c r="AY55" s="15"/>
      <c r="AZ55" s="34"/>
      <c r="BA55" s="5">
        <f>E55+I55+M55+Q55+U55+Y55+AC55+AG55+AK55+AO55+AS55+AW55</f>
        <v>11368515.18177332</v>
      </c>
      <c r="BB55" s="3">
        <f>SUM(BA$52:BA$55)</f>
        <v>120615270.8137104</v>
      </c>
      <c r="BC55" s="13"/>
    </row>
    <row r="56" spans="1:55" ht="12.75">
      <c r="A56" s="25"/>
      <c r="B56" s="25"/>
      <c r="C56" s="25"/>
      <c r="D56" s="33"/>
      <c r="E56" s="6"/>
      <c r="F56" s="6"/>
      <c r="G56" s="12"/>
      <c r="H56" s="15"/>
      <c r="I56" s="6"/>
      <c r="J56" s="6"/>
      <c r="K56" s="15"/>
      <c r="L56" s="33"/>
      <c r="M56" s="6"/>
      <c r="N56" s="6"/>
      <c r="O56" s="12"/>
      <c r="P56" s="15"/>
      <c r="Q56" s="6"/>
      <c r="R56" s="6"/>
      <c r="S56" s="15"/>
      <c r="T56" s="33"/>
      <c r="U56" s="6"/>
      <c r="V56" s="6"/>
      <c r="W56" s="12"/>
      <c r="X56" s="15"/>
      <c r="Y56" s="6"/>
      <c r="Z56" s="6"/>
      <c r="AA56" s="15"/>
      <c r="AB56" s="33"/>
      <c r="AC56" s="6"/>
      <c r="AD56" s="6"/>
      <c r="AE56" s="12"/>
      <c r="AF56" s="15"/>
      <c r="AG56" s="6"/>
      <c r="AH56" s="6"/>
      <c r="AI56" s="15"/>
      <c r="AJ56" s="33"/>
      <c r="AK56" s="6"/>
      <c r="AL56" s="6"/>
      <c r="AM56" s="12"/>
      <c r="AN56" s="15"/>
      <c r="AO56" s="6"/>
      <c r="AP56" s="6"/>
      <c r="AQ56" s="15"/>
      <c r="AR56" s="33"/>
      <c r="AS56" s="6"/>
      <c r="AT56" s="6"/>
      <c r="AU56" s="12"/>
      <c r="AV56" s="15"/>
      <c r="AW56" s="6"/>
      <c r="AX56" s="6"/>
      <c r="AY56" s="15"/>
      <c r="AZ56" s="34"/>
      <c r="BA56" s="6"/>
      <c r="BB56" s="6"/>
      <c r="BC56" s="13"/>
    </row>
    <row r="57" spans="1:55" ht="12.75">
      <c r="A57" s="48" t="s">
        <v>95</v>
      </c>
      <c r="B57" s="25"/>
      <c r="C57" s="25"/>
      <c r="D57" s="33"/>
      <c r="E57" s="6"/>
      <c r="F57" s="6"/>
      <c r="G57" s="12"/>
      <c r="H57" s="15"/>
      <c r="I57" s="6"/>
      <c r="J57" s="6"/>
      <c r="K57" s="15"/>
      <c r="L57" s="33"/>
      <c r="M57" s="6"/>
      <c r="N57" s="6"/>
      <c r="O57" s="12"/>
      <c r="P57" s="15"/>
      <c r="Q57" s="6"/>
      <c r="R57" s="6"/>
      <c r="S57" s="15"/>
      <c r="T57" s="33"/>
      <c r="U57" s="6"/>
      <c r="V57" s="6"/>
      <c r="W57" s="12"/>
      <c r="X57" s="15"/>
      <c r="Y57" s="6"/>
      <c r="Z57" s="6"/>
      <c r="AA57" s="15"/>
      <c r="AB57" s="33"/>
      <c r="AC57" s="6"/>
      <c r="AD57" s="6"/>
      <c r="AE57" s="12"/>
      <c r="AF57" s="15"/>
      <c r="AG57" s="6"/>
      <c r="AH57" s="6"/>
      <c r="AI57" s="15"/>
      <c r="AJ57" s="33"/>
      <c r="AK57" s="6"/>
      <c r="AL57" s="6"/>
      <c r="AM57" s="12"/>
      <c r="AN57" s="15"/>
      <c r="AO57" s="6"/>
      <c r="AP57" s="6"/>
      <c r="AQ57" s="15"/>
      <c r="AR57" s="33"/>
      <c r="AS57" s="6"/>
      <c r="AT57" s="6"/>
      <c r="AU57" s="12"/>
      <c r="AV57" s="15"/>
      <c r="AW57" s="6"/>
      <c r="AX57" s="6"/>
      <c r="AY57" s="15"/>
      <c r="AZ57" s="34"/>
      <c r="BA57" s="6"/>
      <c r="BB57" s="6"/>
      <c r="BC57" s="13"/>
    </row>
    <row r="58" spans="1:55" ht="12.75">
      <c r="A58" s="25"/>
      <c r="B58" s="25"/>
      <c r="C58" s="25" t="s">
        <v>13</v>
      </c>
      <c r="D58" s="33"/>
      <c r="E58" s="15"/>
      <c r="F58" s="3">
        <f>'Allianz Suisse'!F60</f>
        <v>50761.883</v>
      </c>
      <c r="G58" s="12"/>
      <c r="H58" s="15"/>
      <c r="I58" s="15"/>
      <c r="J58" s="3">
        <f>Basler!F60</f>
        <v>54395</v>
      </c>
      <c r="K58" s="15"/>
      <c r="L58" s="33"/>
      <c r="M58" s="15"/>
      <c r="N58" s="3">
        <f>Generali!F60</f>
        <v>0</v>
      </c>
      <c r="O58" s="12"/>
      <c r="P58" s="15"/>
      <c r="Q58" s="15"/>
      <c r="R58" s="3">
        <f>Helvetia!F60</f>
        <v>170095.793</v>
      </c>
      <c r="S58" s="15"/>
      <c r="T58" s="33"/>
      <c r="U58" s="15"/>
      <c r="V58" s="3">
        <f>Mobiliar!F60</f>
        <v>145199.6</v>
      </c>
      <c r="W58" s="12"/>
      <c r="X58" s="15"/>
      <c r="Y58" s="15"/>
      <c r="Z58" s="3">
        <f>Nationale!F60</f>
        <v>5400</v>
      </c>
      <c r="AA58" s="15"/>
      <c r="AB58" s="33"/>
      <c r="AC58" s="15"/>
      <c r="AD58" s="3">
        <f>Pax!F60</f>
        <v>976</v>
      </c>
      <c r="AE58" s="12"/>
      <c r="AF58" s="15"/>
      <c r="AG58" s="15"/>
      <c r="AH58" s="3">
        <f>Phenix!F60</f>
        <v>74</v>
      </c>
      <c r="AI58" s="15"/>
      <c r="AJ58" s="33"/>
      <c r="AK58" s="15"/>
      <c r="AL58" s="3">
        <f>Rentenanstalt!F60</f>
        <v>386000</v>
      </c>
      <c r="AM58" s="12"/>
      <c r="AN58" s="15"/>
      <c r="AO58" s="15"/>
      <c r="AP58" s="3">
        <f>Winterthur!F60</f>
        <v>332050</v>
      </c>
      <c r="AQ58" s="15"/>
      <c r="AR58" s="33"/>
      <c r="AS58" s="15"/>
      <c r="AT58" s="3">
        <f>Zenith!F60</f>
        <v>0</v>
      </c>
      <c r="AU58" s="12"/>
      <c r="AV58" s="15"/>
      <c r="AW58" s="15"/>
      <c r="AX58" s="3">
        <f>Zuerich!F60</f>
        <v>93746</v>
      </c>
      <c r="AY58" s="15"/>
      <c r="AZ58" s="34"/>
      <c r="BA58" s="6"/>
      <c r="BB58" s="3">
        <f>F58+J58+N58+R58+V58+Z58+AD58+AH58+AL58+AP58+AT58+AX58</f>
        <v>1238698.276</v>
      </c>
      <c r="BC58" s="13"/>
    </row>
    <row r="59" spans="1:55" ht="12.75">
      <c r="A59" s="25"/>
      <c r="B59" s="25"/>
      <c r="C59" s="25" t="s">
        <v>14</v>
      </c>
      <c r="D59" s="33"/>
      <c r="E59" s="15"/>
      <c r="F59" s="3">
        <f>F$34</f>
        <v>45631.675</v>
      </c>
      <c r="G59" s="12"/>
      <c r="H59" s="15"/>
      <c r="I59" s="15"/>
      <c r="J59" s="3">
        <f>J$34</f>
        <v>74690</v>
      </c>
      <c r="K59" s="15"/>
      <c r="L59" s="33"/>
      <c r="M59" s="15"/>
      <c r="N59" s="3">
        <f>N$34</f>
        <v>0</v>
      </c>
      <c r="O59" s="12"/>
      <c r="P59" s="15"/>
      <c r="Q59" s="15"/>
      <c r="R59" s="3">
        <f>R$34</f>
        <v>110716.8588</v>
      </c>
      <c r="S59" s="15"/>
      <c r="T59" s="33"/>
      <c r="U59" s="15"/>
      <c r="V59" s="3">
        <f>V$34</f>
        <v>105245.7</v>
      </c>
      <c r="W59" s="12"/>
      <c r="X59" s="15"/>
      <c r="Y59" s="15"/>
      <c r="Z59" s="3">
        <f>Z$34</f>
        <v>4459</v>
      </c>
      <c r="AA59" s="15"/>
      <c r="AB59" s="33"/>
      <c r="AC59" s="15"/>
      <c r="AD59" s="3">
        <f>AD$34</f>
        <v>10000</v>
      </c>
      <c r="AE59" s="12"/>
      <c r="AF59" s="15"/>
      <c r="AG59" s="15"/>
      <c r="AH59" s="3">
        <f>AH$34</f>
        <v>0</v>
      </c>
      <c r="AI59" s="15"/>
      <c r="AJ59" s="33"/>
      <c r="AK59" s="15"/>
      <c r="AL59" s="3">
        <f>AL$34</f>
        <v>431214.24027</v>
      </c>
      <c r="AM59" s="12"/>
      <c r="AN59" s="15"/>
      <c r="AO59" s="15"/>
      <c r="AP59" s="3">
        <f>AP$34</f>
        <v>293561</v>
      </c>
      <c r="AQ59" s="15"/>
      <c r="AR59" s="33"/>
      <c r="AS59" s="15"/>
      <c r="AT59" s="3">
        <f>AT$34</f>
        <v>0</v>
      </c>
      <c r="AU59" s="12"/>
      <c r="AV59" s="15"/>
      <c r="AW59" s="15"/>
      <c r="AX59" s="3">
        <f>AX$34</f>
        <v>181184</v>
      </c>
      <c r="AY59" s="15"/>
      <c r="AZ59" s="34"/>
      <c r="BA59" s="6"/>
      <c r="BB59" s="3">
        <f>BB$34</f>
        <v>1256702.47407</v>
      </c>
      <c r="BC59" s="13"/>
    </row>
    <row r="60" spans="1:55" ht="12.75">
      <c r="A60" s="25"/>
      <c r="B60" s="25"/>
      <c r="C60" s="25" t="s">
        <v>139</v>
      </c>
      <c r="D60" s="33"/>
      <c r="E60" s="15"/>
      <c r="F60" s="3">
        <f>'Allianz Suisse'!F62</f>
        <v>0</v>
      </c>
      <c r="G60" s="12"/>
      <c r="H60" s="15"/>
      <c r="I60" s="15"/>
      <c r="J60" s="3">
        <f>Basler!F62</f>
        <v>0</v>
      </c>
      <c r="K60" s="15"/>
      <c r="L60" s="33"/>
      <c r="M60" s="15"/>
      <c r="N60" s="3">
        <f>Generali!F62</f>
        <v>0</v>
      </c>
      <c r="O60" s="12"/>
      <c r="P60" s="15"/>
      <c r="Q60" s="15"/>
      <c r="R60" s="3">
        <f>Helvetia!F62</f>
        <v>0</v>
      </c>
      <c r="S60" s="15"/>
      <c r="T60" s="33"/>
      <c r="U60" s="15"/>
      <c r="V60" s="3">
        <f>Mobiliar!F62</f>
        <v>0</v>
      </c>
      <c r="W60" s="12"/>
      <c r="X60" s="15"/>
      <c r="Y60" s="15"/>
      <c r="Z60" s="3">
        <f>Nationale!F62</f>
        <v>0</v>
      </c>
      <c r="AA60" s="15"/>
      <c r="AB60" s="33"/>
      <c r="AC60" s="15"/>
      <c r="AD60" s="3">
        <f>Pax!F62</f>
        <v>0</v>
      </c>
      <c r="AE60" s="12"/>
      <c r="AF60" s="15"/>
      <c r="AG60" s="15"/>
      <c r="AH60" s="3">
        <f>Phenix!F62</f>
        <v>0</v>
      </c>
      <c r="AI60" s="15"/>
      <c r="AJ60" s="33"/>
      <c r="AK60" s="15"/>
      <c r="AL60" s="3">
        <f>Rentenanstalt!F62</f>
        <v>0</v>
      </c>
      <c r="AM60" s="12"/>
      <c r="AN60" s="15"/>
      <c r="AO60" s="15"/>
      <c r="AP60" s="3">
        <f>Winterthur!F62</f>
        <v>915</v>
      </c>
      <c r="AQ60" s="15"/>
      <c r="AR60" s="33"/>
      <c r="AS60" s="15"/>
      <c r="AT60" s="3">
        <f>Zenith!F62</f>
        <v>0</v>
      </c>
      <c r="AU60" s="12"/>
      <c r="AV60" s="15"/>
      <c r="AW60" s="15"/>
      <c r="AX60" s="3">
        <f>Zuerich!F62</f>
        <v>0</v>
      </c>
      <c r="AY60" s="15"/>
      <c r="AZ60" s="34"/>
      <c r="BA60" s="6"/>
      <c r="BB60" s="3">
        <f>F60+J60+N60+R60+V60+Z60+AD60+AH60+AL60+AP60+AT60+AX60</f>
        <v>915</v>
      </c>
      <c r="BC60" s="13"/>
    </row>
    <row r="61" spans="1:55" ht="12.75">
      <c r="A61" s="25"/>
      <c r="B61" s="25"/>
      <c r="C61" s="25" t="s">
        <v>15</v>
      </c>
      <c r="D61" s="33"/>
      <c r="E61" s="5">
        <f>'Allianz Suisse'!E63</f>
        <v>0</v>
      </c>
      <c r="F61" s="6"/>
      <c r="G61" s="12"/>
      <c r="H61" s="15"/>
      <c r="I61" s="5">
        <f>Basler!E63</f>
        <v>0</v>
      </c>
      <c r="J61" s="6"/>
      <c r="K61" s="15"/>
      <c r="L61" s="33"/>
      <c r="M61" s="5">
        <f>Generali!E63</f>
        <v>0</v>
      </c>
      <c r="N61" s="6"/>
      <c r="O61" s="12"/>
      <c r="P61" s="15"/>
      <c r="Q61" s="5">
        <f>Helvetia!E63</f>
        <v>0</v>
      </c>
      <c r="R61" s="6"/>
      <c r="S61" s="15"/>
      <c r="T61" s="33"/>
      <c r="U61" s="5">
        <f>Mobiliar!E63</f>
        <v>0</v>
      </c>
      <c r="V61" s="6"/>
      <c r="W61" s="12"/>
      <c r="X61" s="15"/>
      <c r="Y61" s="5">
        <f>Nationale!E63</f>
        <v>0</v>
      </c>
      <c r="Z61" s="6"/>
      <c r="AA61" s="15"/>
      <c r="AB61" s="33"/>
      <c r="AC61" s="5">
        <f>Pax!E63</f>
        <v>0</v>
      </c>
      <c r="AD61" s="6"/>
      <c r="AE61" s="12"/>
      <c r="AF61" s="15"/>
      <c r="AG61" s="5">
        <f>Phenix!E63</f>
        <v>0</v>
      </c>
      <c r="AH61" s="6"/>
      <c r="AI61" s="15"/>
      <c r="AJ61" s="33"/>
      <c r="AK61" s="5">
        <f>Rentenanstalt!E63</f>
        <v>0</v>
      </c>
      <c r="AL61" s="6"/>
      <c r="AM61" s="12"/>
      <c r="AN61" s="15"/>
      <c r="AO61" s="5">
        <f>Winterthur!E63</f>
        <v>0</v>
      </c>
      <c r="AP61" s="6"/>
      <c r="AQ61" s="15"/>
      <c r="AR61" s="33"/>
      <c r="AS61" s="5">
        <f>Zenith!E63</f>
        <v>0</v>
      </c>
      <c r="AT61" s="6"/>
      <c r="AU61" s="12"/>
      <c r="AV61" s="15"/>
      <c r="AW61" s="5">
        <f>Zuerich!E63</f>
        <v>0</v>
      </c>
      <c r="AX61" s="6"/>
      <c r="AY61" s="15"/>
      <c r="AZ61" s="34"/>
      <c r="BA61" s="5">
        <f>E61+I61+M61+Q61+U61+Y61+AC61+AG61+AK61+AO61+AS61+AW61</f>
        <v>0</v>
      </c>
      <c r="BB61" s="6"/>
      <c r="BC61" s="13"/>
    </row>
    <row r="62" spans="1:55" ht="13.5" thickBot="1">
      <c r="A62" s="25"/>
      <c r="B62" s="25"/>
      <c r="C62" s="25" t="s">
        <v>96</v>
      </c>
      <c r="D62" s="33"/>
      <c r="E62" s="5">
        <f>'Allianz Suisse'!E64</f>
        <v>9148.728</v>
      </c>
      <c r="F62" s="55">
        <f>E$62+E$61</f>
        <v>9148.728</v>
      </c>
      <c r="G62" s="12"/>
      <c r="H62" s="15"/>
      <c r="I62" s="5">
        <f>Basler!E64</f>
        <v>53872.973</v>
      </c>
      <c r="J62" s="55">
        <f>I$62+I$61</f>
        <v>53872.973</v>
      </c>
      <c r="K62" s="15"/>
      <c r="L62" s="33"/>
      <c r="M62" s="5">
        <f>Generali!E64</f>
        <v>0</v>
      </c>
      <c r="N62" s="55">
        <f>M$62+M$61</f>
        <v>0</v>
      </c>
      <c r="O62" s="12"/>
      <c r="P62" s="15"/>
      <c r="Q62" s="5">
        <f>Helvetia!E64</f>
        <v>54460.435639999996</v>
      </c>
      <c r="R62" s="55">
        <f>Q$62+Q$61</f>
        <v>54460.435639999996</v>
      </c>
      <c r="S62" s="15"/>
      <c r="T62" s="33"/>
      <c r="U62" s="5">
        <f>Mobiliar!E64</f>
        <v>59532.4</v>
      </c>
      <c r="V62" s="55">
        <f>U$62+U$61</f>
        <v>59532.4</v>
      </c>
      <c r="W62" s="12"/>
      <c r="X62" s="15"/>
      <c r="Y62" s="5">
        <f>Nationale!E64</f>
        <v>2859</v>
      </c>
      <c r="Z62" s="55">
        <f>Y$62+Y$61</f>
        <v>2859</v>
      </c>
      <c r="AA62" s="15"/>
      <c r="AB62" s="33"/>
      <c r="AC62" s="5">
        <f>Pax!E64</f>
        <v>0</v>
      </c>
      <c r="AD62" s="55">
        <f>AC$62+AC$61</f>
        <v>0</v>
      </c>
      <c r="AE62" s="12"/>
      <c r="AF62" s="15"/>
      <c r="AG62" s="5">
        <f>Phenix!E64</f>
        <v>0</v>
      </c>
      <c r="AH62" s="55">
        <f>AG$62+AG$61</f>
        <v>0</v>
      </c>
      <c r="AI62" s="15"/>
      <c r="AJ62" s="33"/>
      <c r="AK62" s="5">
        <f>Rentenanstalt!E64</f>
        <v>249914.24027</v>
      </c>
      <c r="AL62" s="55">
        <f>AK$62+AK$61</f>
        <v>249914.24027</v>
      </c>
      <c r="AM62" s="12"/>
      <c r="AN62" s="15"/>
      <c r="AO62" s="5">
        <f>Winterthur!E64</f>
        <v>202116</v>
      </c>
      <c r="AP62" s="55">
        <f>AO$62+AO$61</f>
        <v>202116</v>
      </c>
      <c r="AQ62" s="15"/>
      <c r="AR62" s="33"/>
      <c r="AS62" s="5">
        <f>Zenith!E64</f>
        <v>0</v>
      </c>
      <c r="AT62" s="55">
        <f>AS$62+AS$61</f>
        <v>0</v>
      </c>
      <c r="AU62" s="12"/>
      <c r="AV62" s="15"/>
      <c r="AW62" s="5">
        <f>Zuerich!E64</f>
        <v>92674.687</v>
      </c>
      <c r="AX62" s="55">
        <f>AW$62+AW$61</f>
        <v>92674.687</v>
      </c>
      <c r="AY62" s="15"/>
      <c r="AZ62" s="34"/>
      <c r="BA62" s="5">
        <f>E62+I62+M62+Q62+U62+Y62+AC62+AG62+AK62+AO62+AS62+AW62</f>
        <v>724578.46391</v>
      </c>
      <c r="BB62" s="55">
        <f>BA$62+BA$61</f>
        <v>724578.46391</v>
      </c>
      <c r="BC62" s="13"/>
    </row>
    <row r="63" spans="1:55" ht="13.5" thickBot="1">
      <c r="A63" s="25"/>
      <c r="B63" s="25"/>
      <c r="C63" s="25" t="s">
        <v>16</v>
      </c>
      <c r="D63" s="33"/>
      <c r="E63" s="15"/>
      <c r="F63" s="55">
        <f>F$58+F$59+F$60-F$62</f>
        <v>87244.83</v>
      </c>
      <c r="G63" s="12"/>
      <c r="H63" s="15"/>
      <c r="I63" s="15"/>
      <c r="J63" s="55">
        <f>J$58+J$59+J$60-J$62</f>
        <v>75212.027</v>
      </c>
      <c r="K63" s="15"/>
      <c r="L63" s="33"/>
      <c r="M63" s="15"/>
      <c r="N63" s="55">
        <f>N$58+N$59+N$60-N$62</f>
        <v>0</v>
      </c>
      <c r="O63" s="12"/>
      <c r="P63" s="15"/>
      <c r="Q63" s="15"/>
      <c r="R63" s="55">
        <f>R$58+R$59+R$60-R$62</f>
        <v>226352.21616</v>
      </c>
      <c r="S63" s="15"/>
      <c r="T63" s="33"/>
      <c r="U63" s="15"/>
      <c r="V63" s="55">
        <f>V$58+V$59+V$60-V$62</f>
        <v>190912.9</v>
      </c>
      <c r="W63" s="12"/>
      <c r="X63" s="15"/>
      <c r="Y63" s="15"/>
      <c r="Z63" s="55">
        <f>Z$58+Z$59+Z$60-Z$62</f>
        <v>7000</v>
      </c>
      <c r="AA63" s="15"/>
      <c r="AB63" s="33"/>
      <c r="AC63" s="15"/>
      <c r="AD63" s="55">
        <f>AD$58+AD$59+AD$60-AD$62</f>
        <v>10976</v>
      </c>
      <c r="AE63" s="12"/>
      <c r="AF63" s="15"/>
      <c r="AG63" s="15"/>
      <c r="AH63" s="55">
        <f>AH$58+AH$59+AH$60-AH$62</f>
        <v>74</v>
      </c>
      <c r="AI63" s="15"/>
      <c r="AJ63" s="33"/>
      <c r="AK63" s="15"/>
      <c r="AL63" s="55">
        <f>AL$58+AL$59+AL$60-AL$62</f>
        <v>567300</v>
      </c>
      <c r="AM63" s="12"/>
      <c r="AN63" s="15"/>
      <c r="AO63" s="15"/>
      <c r="AP63" s="55">
        <f>AP$58+AP$59+AP$60-AP$62</f>
        <v>424410</v>
      </c>
      <c r="AQ63" s="15"/>
      <c r="AR63" s="33"/>
      <c r="AS63" s="15"/>
      <c r="AT63" s="55">
        <f>AT$58+AT$59+AT$60-AT$62</f>
        <v>0</v>
      </c>
      <c r="AU63" s="12"/>
      <c r="AV63" s="15"/>
      <c r="AW63" s="15"/>
      <c r="AX63" s="55">
        <f>AX$58+AX$59+AX$60-AX$62</f>
        <v>182255.313</v>
      </c>
      <c r="AY63" s="15"/>
      <c r="AZ63" s="34"/>
      <c r="BA63" s="6"/>
      <c r="BB63" s="55">
        <f>BB$58+BB$59+BB$60-BB$62</f>
        <v>1771737.2861600001</v>
      </c>
      <c r="BC63" s="13"/>
    </row>
    <row r="64" spans="1:55" ht="12.75">
      <c r="A64" s="25"/>
      <c r="B64" s="25"/>
      <c r="C64" s="25"/>
      <c r="D64" s="33"/>
      <c r="E64" s="15"/>
      <c r="F64" s="6"/>
      <c r="G64" s="12"/>
      <c r="H64" s="15"/>
      <c r="I64" s="15"/>
      <c r="J64" s="6"/>
      <c r="K64" s="15"/>
      <c r="L64" s="33"/>
      <c r="M64" s="15"/>
      <c r="N64" s="6"/>
      <c r="O64" s="12"/>
      <c r="P64" s="15"/>
      <c r="Q64" s="15"/>
      <c r="R64" s="6"/>
      <c r="S64" s="15"/>
      <c r="T64" s="33"/>
      <c r="U64" s="15"/>
      <c r="V64" s="6"/>
      <c r="W64" s="12"/>
      <c r="X64" s="15"/>
      <c r="Y64" s="15"/>
      <c r="Z64" s="6"/>
      <c r="AA64" s="15"/>
      <c r="AB64" s="33"/>
      <c r="AC64" s="15"/>
      <c r="AD64" s="6"/>
      <c r="AE64" s="12"/>
      <c r="AF64" s="15"/>
      <c r="AG64" s="15"/>
      <c r="AH64" s="6"/>
      <c r="AI64" s="15"/>
      <c r="AJ64" s="33"/>
      <c r="AK64" s="15"/>
      <c r="AL64" s="6"/>
      <c r="AM64" s="12"/>
      <c r="AN64" s="15"/>
      <c r="AO64" s="15"/>
      <c r="AP64" s="6"/>
      <c r="AQ64" s="15"/>
      <c r="AR64" s="33"/>
      <c r="AS64" s="15"/>
      <c r="AT64" s="6"/>
      <c r="AU64" s="12"/>
      <c r="AV64" s="15"/>
      <c r="AW64" s="15"/>
      <c r="AX64" s="6"/>
      <c r="AY64" s="15"/>
      <c r="AZ64" s="34"/>
      <c r="BA64" s="6"/>
      <c r="BB64" s="6"/>
      <c r="BC64" s="13"/>
    </row>
    <row r="65" spans="1:55" ht="12.75">
      <c r="A65" s="48" t="s">
        <v>97</v>
      </c>
      <c r="B65" s="25"/>
      <c r="C65" s="25"/>
      <c r="D65" s="33"/>
      <c r="E65" s="15"/>
      <c r="F65" s="6"/>
      <c r="G65" s="12"/>
      <c r="H65" s="15"/>
      <c r="I65" s="15"/>
      <c r="J65" s="6"/>
      <c r="K65" s="15"/>
      <c r="L65" s="33"/>
      <c r="M65" s="15"/>
      <c r="N65" s="6"/>
      <c r="O65" s="12"/>
      <c r="P65" s="15"/>
      <c r="Q65" s="15"/>
      <c r="R65" s="6"/>
      <c r="S65" s="15"/>
      <c r="T65" s="33"/>
      <c r="U65" s="15"/>
      <c r="V65" s="6"/>
      <c r="W65" s="12"/>
      <c r="X65" s="15"/>
      <c r="Y65" s="15"/>
      <c r="Z65" s="6"/>
      <c r="AA65" s="15"/>
      <c r="AB65" s="33"/>
      <c r="AC65" s="15"/>
      <c r="AD65" s="6"/>
      <c r="AE65" s="12"/>
      <c r="AF65" s="15"/>
      <c r="AG65" s="15"/>
      <c r="AH65" s="6"/>
      <c r="AI65" s="15"/>
      <c r="AJ65" s="33"/>
      <c r="AK65" s="15"/>
      <c r="AL65" s="6"/>
      <c r="AM65" s="12"/>
      <c r="AN65" s="15"/>
      <c r="AO65" s="15"/>
      <c r="AP65" s="6"/>
      <c r="AQ65" s="15"/>
      <c r="AR65" s="33"/>
      <c r="AS65" s="15"/>
      <c r="AT65" s="6"/>
      <c r="AU65" s="12"/>
      <c r="AV65" s="15"/>
      <c r="AW65" s="15"/>
      <c r="AX65" s="6"/>
      <c r="AY65" s="15"/>
      <c r="AZ65" s="34"/>
      <c r="BA65" s="6"/>
      <c r="BB65" s="6"/>
      <c r="BC65" s="13"/>
    </row>
    <row r="66" spans="1:55" ht="12.75">
      <c r="A66" s="25"/>
      <c r="B66" s="25"/>
      <c r="C66" s="25" t="s">
        <v>13</v>
      </c>
      <c r="D66" s="33"/>
      <c r="E66" s="26"/>
      <c r="F66" s="3">
        <f>'Allianz Suisse'!F68</f>
        <v>152764.88700000002</v>
      </c>
      <c r="G66" s="12"/>
      <c r="H66" s="15"/>
      <c r="I66" s="26"/>
      <c r="J66" s="3">
        <f>Basler!F68</f>
        <v>206851.58500000002</v>
      </c>
      <c r="K66" s="15"/>
      <c r="L66" s="33"/>
      <c r="M66" s="26"/>
      <c r="N66" s="3">
        <f>Generali!F68</f>
        <v>11544.061999999998</v>
      </c>
      <c r="O66" s="12"/>
      <c r="P66" s="15"/>
      <c r="Q66" s="26"/>
      <c r="R66" s="3">
        <f>Helvetia!F68</f>
        <v>245256.11</v>
      </c>
      <c r="S66" s="15"/>
      <c r="T66" s="33"/>
      <c r="U66" s="26"/>
      <c r="V66" s="3">
        <f>Mobiliar!F68</f>
        <v>179184</v>
      </c>
      <c r="W66" s="12"/>
      <c r="X66" s="15"/>
      <c r="Y66" s="26"/>
      <c r="Z66" s="3">
        <f>Nationale!F68</f>
        <v>48261</v>
      </c>
      <c r="AA66" s="15"/>
      <c r="AB66" s="33"/>
      <c r="AC66" s="26"/>
      <c r="AD66" s="3">
        <f>Pax!F68</f>
        <v>68000</v>
      </c>
      <c r="AE66" s="12"/>
      <c r="AF66" s="15"/>
      <c r="AG66" s="26"/>
      <c r="AH66" s="3">
        <f>Phenix!F68</f>
        <v>2276</v>
      </c>
      <c r="AI66" s="15"/>
      <c r="AJ66" s="33"/>
      <c r="AK66" s="26"/>
      <c r="AL66" s="3">
        <f>Rentenanstalt!F68</f>
        <v>687699.5</v>
      </c>
      <c r="AM66" s="12"/>
      <c r="AN66" s="15"/>
      <c r="AO66" s="26"/>
      <c r="AP66" s="3">
        <f>Winterthur!F68</f>
        <v>513924</v>
      </c>
      <c r="AQ66" s="15"/>
      <c r="AR66" s="33"/>
      <c r="AS66" s="26"/>
      <c r="AT66" s="3">
        <f>Zenith!F68</f>
        <v>5377</v>
      </c>
      <c r="AU66" s="12"/>
      <c r="AV66" s="15"/>
      <c r="AW66" s="26"/>
      <c r="AX66" s="3">
        <f>Zuerich!F68</f>
        <v>344371.518</v>
      </c>
      <c r="AY66" s="15"/>
      <c r="AZ66" s="34"/>
      <c r="BA66" s="6"/>
      <c r="BB66" s="3">
        <f>F66+J66+N66+R66+V66+Z66+AD66+AH66+AL66+AP66+AT66+AX66</f>
        <v>2465509.6620000005</v>
      </c>
      <c r="BC66" s="13"/>
    </row>
    <row r="67" spans="1:55" ht="12.75">
      <c r="A67" s="25"/>
      <c r="B67" s="25"/>
      <c r="C67" s="25" t="s">
        <v>54</v>
      </c>
      <c r="D67" s="33"/>
      <c r="E67" s="5">
        <f>'Allianz Suisse'!E69</f>
        <v>3710.713</v>
      </c>
      <c r="F67" s="58"/>
      <c r="G67" s="12"/>
      <c r="H67" s="15"/>
      <c r="I67" s="5">
        <f>Basler!E69</f>
        <v>5541.211</v>
      </c>
      <c r="J67" s="58"/>
      <c r="K67" s="15"/>
      <c r="L67" s="33"/>
      <c r="M67" s="5">
        <f>Generali!E69</f>
        <v>25.4053</v>
      </c>
      <c r="N67" s="58"/>
      <c r="O67" s="12"/>
      <c r="P67" s="15"/>
      <c r="Q67" s="5">
        <f>Helvetia!E69</f>
        <v>7159.725612</v>
      </c>
      <c r="R67" s="58"/>
      <c r="S67" s="15"/>
      <c r="T67" s="33"/>
      <c r="U67" s="5">
        <f>Mobiliar!E69</f>
        <v>3775.708800000001</v>
      </c>
      <c r="V67" s="58"/>
      <c r="W67" s="12"/>
      <c r="X67" s="15"/>
      <c r="Y67" s="5">
        <f>Nationale!E69</f>
        <v>828</v>
      </c>
      <c r="Z67" s="58"/>
      <c r="AA67" s="15"/>
      <c r="AB67" s="33"/>
      <c r="AC67" s="5">
        <f>Pax!E69</f>
        <v>2306</v>
      </c>
      <c r="AD67" s="58"/>
      <c r="AE67" s="12"/>
      <c r="AF67" s="15"/>
      <c r="AG67" s="5">
        <f>Phenix!E69</f>
        <v>86</v>
      </c>
      <c r="AH67" s="58"/>
      <c r="AI67" s="15"/>
      <c r="AJ67" s="33"/>
      <c r="AK67" s="5">
        <f>Rentenanstalt!E69</f>
        <v>14960.23</v>
      </c>
      <c r="AL67" s="58"/>
      <c r="AM67" s="12"/>
      <c r="AN67" s="15"/>
      <c r="AO67" s="5">
        <f>Winterthur!E69</f>
        <v>19234</v>
      </c>
      <c r="AP67" s="58"/>
      <c r="AQ67" s="15"/>
      <c r="AR67" s="33"/>
      <c r="AS67" s="5">
        <f>Zenith!E69</f>
        <v>38.027</v>
      </c>
      <c r="AT67" s="58"/>
      <c r="AU67" s="12"/>
      <c r="AV67" s="15"/>
      <c r="AW67" s="5">
        <f>Zuerich!E69</f>
        <v>8805.66605</v>
      </c>
      <c r="AX67" s="58"/>
      <c r="AY67" s="15"/>
      <c r="AZ67" s="34"/>
      <c r="BA67" s="5">
        <f>E67+I67+M67+Q67+U67+Y67+AC67+AG67+AK67+AO67+AS67+AW67</f>
        <v>66470.686762</v>
      </c>
      <c r="BB67" s="6"/>
      <c r="BC67" s="13"/>
    </row>
    <row r="68" spans="1:55" ht="12.75">
      <c r="A68" s="25"/>
      <c r="B68" s="25"/>
      <c r="C68" s="25" t="s">
        <v>98</v>
      </c>
      <c r="D68" s="33"/>
      <c r="E68" s="5">
        <f>'Allianz Suisse'!E70</f>
        <v>1538.661</v>
      </c>
      <c r="F68" s="3">
        <f>E$67+E$68</f>
        <v>5249.374</v>
      </c>
      <c r="G68" s="12"/>
      <c r="H68" s="15"/>
      <c r="I68" s="5">
        <f>Basler!E70</f>
        <v>2585.6310000000003</v>
      </c>
      <c r="J68" s="3">
        <f>I$67+I$68</f>
        <v>8126.842000000001</v>
      </c>
      <c r="K68" s="15"/>
      <c r="L68" s="33"/>
      <c r="M68" s="5">
        <f>Generali!E70</f>
        <v>57.72031</v>
      </c>
      <c r="N68" s="3">
        <f>M$67+M$68</f>
        <v>83.12561</v>
      </c>
      <c r="O68" s="12"/>
      <c r="P68" s="15"/>
      <c r="Q68" s="5">
        <f>Helvetia!E70</f>
        <v>3026.2552397400004</v>
      </c>
      <c r="R68" s="3">
        <f>Q$67+Q$68</f>
        <v>10185.980851740002</v>
      </c>
      <c r="S68" s="15"/>
      <c r="T68" s="33"/>
      <c r="U68" s="5">
        <f>Mobiliar!E70</f>
        <v>2239.8</v>
      </c>
      <c r="V68" s="3">
        <f>U$67+U$68</f>
        <v>6015.508800000001</v>
      </c>
      <c r="W68" s="12"/>
      <c r="X68" s="15"/>
      <c r="Y68" s="5">
        <f>Nationale!E70</f>
        <v>603</v>
      </c>
      <c r="Z68" s="3">
        <f>Y$67+Y$68</f>
        <v>1431</v>
      </c>
      <c r="AA68" s="15"/>
      <c r="AB68" s="33"/>
      <c r="AC68" s="5">
        <f>Pax!E70</f>
        <v>827</v>
      </c>
      <c r="AD68" s="3">
        <f>AC$67+AC$68</f>
        <v>3133</v>
      </c>
      <c r="AE68" s="12"/>
      <c r="AF68" s="15"/>
      <c r="AG68" s="5">
        <f>Phenix!E70</f>
        <v>29</v>
      </c>
      <c r="AH68" s="3">
        <f>AG$67+AG$68</f>
        <v>115</v>
      </c>
      <c r="AI68" s="15"/>
      <c r="AJ68" s="33"/>
      <c r="AK68" s="5">
        <f>Rentenanstalt!E70</f>
        <v>8596.243</v>
      </c>
      <c r="AL68" s="3">
        <f>AK$67+AK$68</f>
        <v>23556.472999999998</v>
      </c>
      <c r="AM68" s="12"/>
      <c r="AN68" s="15"/>
      <c r="AO68" s="5">
        <f>Winterthur!E70</f>
        <v>5789</v>
      </c>
      <c r="AP68" s="3">
        <f>AO$67+AO$68</f>
        <v>25023</v>
      </c>
      <c r="AQ68" s="15"/>
      <c r="AR68" s="33"/>
      <c r="AS68" s="5">
        <f>Zenith!E70</f>
        <v>67.217</v>
      </c>
      <c r="AT68" s="3">
        <f>AS$67+AS$68</f>
        <v>105.244</v>
      </c>
      <c r="AU68" s="12"/>
      <c r="AV68" s="15"/>
      <c r="AW68" s="5">
        <f>Zuerich!E70</f>
        <v>3443.7235302790004</v>
      </c>
      <c r="AX68" s="3">
        <f>AW$67+AW$68</f>
        <v>12249.389580279</v>
      </c>
      <c r="AY68" s="15"/>
      <c r="AZ68" s="34"/>
      <c r="BA68" s="5">
        <f>E68+I68+M68+Q68+U68+Y68+AC68+AG68+AK68+AO68+AS68+AW68</f>
        <v>28803.251080019003</v>
      </c>
      <c r="BB68" s="3">
        <f>BA$67+BA$68</f>
        <v>95273.937842019</v>
      </c>
      <c r="BC68" s="13"/>
    </row>
    <row r="69" spans="1:55" ht="12.75">
      <c r="A69" s="25"/>
      <c r="B69" s="25"/>
      <c r="C69" s="25" t="s">
        <v>55</v>
      </c>
      <c r="D69" s="33"/>
      <c r="E69" s="5">
        <f>'Allianz Suisse'!E71</f>
        <v>3046.995</v>
      </c>
      <c r="F69" s="60"/>
      <c r="G69" s="12"/>
      <c r="H69" s="15"/>
      <c r="I69" s="5">
        <f>Basler!E71</f>
        <v>6077.183</v>
      </c>
      <c r="J69" s="60"/>
      <c r="K69" s="15"/>
      <c r="L69" s="33"/>
      <c r="M69" s="5">
        <f>Generali!E71</f>
        <v>83.19960999999807</v>
      </c>
      <c r="N69" s="60"/>
      <c r="O69" s="12"/>
      <c r="P69" s="15"/>
      <c r="Q69" s="5">
        <f>Helvetia!E71</f>
        <v>6083.143599999994</v>
      </c>
      <c r="R69" s="60"/>
      <c r="S69" s="15"/>
      <c r="T69" s="33"/>
      <c r="U69" s="5">
        <f>Mobiliar!E71</f>
        <v>3244.314</v>
      </c>
      <c r="V69" s="60"/>
      <c r="W69" s="12"/>
      <c r="X69" s="15"/>
      <c r="Y69" s="5">
        <f>Nationale!E71</f>
        <v>906</v>
      </c>
      <c r="Z69" s="60"/>
      <c r="AA69" s="15"/>
      <c r="AB69" s="33"/>
      <c r="AC69" s="5">
        <f>Pax!E71</f>
        <v>672.000000000003</v>
      </c>
      <c r="AD69" s="60"/>
      <c r="AE69" s="12"/>
      <c r="AF69" s="15"/>
      <c r="AG69" s="5">
        <f>Phenix!E71</f>
        <v>23</v>
      </c>
      <c r="AH69" s="60"/>
      <c r="AI69" s="15"/>
      <c r="AJ69" s="33"/>
      <c r="AK69" s="5">
        <f>Rentenanstalt!E71</f>
        <v>21227.39</v>
      </c>
      <c r="AL69" s="60"/>
      <c r="AM69" s="12"/>
      <c r="AN69" s="15"/>
      <c r="AO69" s="5">
        <f>Winterthur!E71</f>
        <v>24116</v>
      </c>
      <c r="AP69" s="60"/>
      <c r="AQ69" s="15"/>
      <c r="AR69" s="33"/>
      <c r="AS69" s="5">
        <f>Zenith!E71</f>
        <v>0</v>
      </c>
      <c r="AT69" s="60"/>
      <c r="AU69" s="12"/>
      <c r="AV69" s="15"/>
      <c r="AW69" s="5">
        <f>Zuerich!E71</f>
        <v>9703.097942099965</v>
      </c>
      <c r="AX69" s="60"/>
      <c r="AY69" s="15"/>
      <c r="AZ69" s="34"/>
      <c r="BA69" s="5">
        <f>E69+I69+M69+Q69+U69+Y69+AC69+AG69+AK69+AO69+AS69+AW69</f>
        <v>75182.32315209995</v>
      </c>
      <c r="BB69" s="6"/>
      <c r="BC69" s="13"/>
    </row>
    <row r="70" spans="1:55" ht="13.5" thickBot="1">
      <c r="A70" s="49"/>
      <c r="B70" s="49"/>
      <c r="C70" s="25" t="s">
        <v>99</v>
      </c>
      <c r="D70" s="33"/>
      <c r="E70" s="5">
        <f>'Allianz Suisse'!E72</f>
        <v>0</v>
      </c>
      <c r="F70" s="55">
        <f>E$69+E$70</f>
        <v>3046.995</v>
      </c>
      <c r="G70" s="12"/>
      <c r="H70" s="15"/>
      <c r="I70" s="5">
        <f>Basler!E72</f>
        <v>0</v>
      </c>
      <c r="J70" s="55">
        <f>I$69+I$70</f>
        <v>6077.183</v>
      </c>
      <c r="K70" s="15"/>
      <c r="L70" s="33"/>
      <c r="M70" s="5">
        <f>Generali!E72</f>
        <v>2556.7488700000013</v>
      </c>
      <c r="N70" s="55">
        <f>M$69+M$70</f>
        <v>2639.948479999999</v>
      </c>
      <c r="O70" s="12"/>
      <c r="P70" s="15"/>
      <c r="Q70" s="5">
        <f>Helvetia!E72</f>
        <v>0</v>
      </c>
      <c r="R70" s="55">
        <f>Q$69+Q$70</f>
        <v>6083.143599999994</v>
      </c>
      <c r="S70" s="15"/>
      <c r="T70" s="33"/>
      <c r="U70" s="5">
        <f>Mobiliar!E72</f>
        <v>0</v>
      </c>
      <c r="V70" s="55">
        <f>U$69+U$70</f>
        <v>3244.314</v>
      </c>
      <c r="W70" s="12"/>
      <c r="X70" s="15"/>
      <c r="Y70" s="5">
        <f>Nationale!E72</f>
        <v>0</v>
      </c>
      <c r="Z70" s="55">
        <f>Y$69+Y$70</f>
        <v>906</v>
      </c>
      <c r="AA70" s="15"/>
      <c r="AB70" s="33"/>
      <c r="AC70" s="5">
        <f>Pax!E72</f>
        <v>461</v>
      </c>
      <c r="AD70" s="55">
        <f>AC$69+AC$70</f>
        <v>1133.000000000003</v>
      </c>
      <c r="AE70" s="12"/>
      <c r="AF70" s="15"/>
      <c r="AG70" s="5">
        <f>Phenix!E72</f>
        <v>0</v>
      </c>
      <c r="AH70" s="55">
        <f>AG$69+AG$70</f>
        <v>23</v>
      </c>
      <c r="AI70" s="15"/>
      <c r="AJ70" s="33"/>
      <c r="AK70" s="5">
        <f>Rentenanstalt!E72</f>
        <v>0</v>
      </c>
      <c r="AL70" s="55">
        <f>AK$69+AK$70</f>
        <v>21227.39</v>
      </c>
      <c r="AM70" s="12"/>
      <c r="AN70" s="15"/>
      <c r="AO70" s="5">
        <f>Winterthur!E72</f>
        <v>0</v>
      </c>
      <c r="AP70" s="55">
        <f>AO$69+AO$70</f>
        <v>24116</v>
      </c>
      <c r="AQ70" s="15"/>
      <c r="AR70" s="33"/>
      <c r="AS70" s="5">
        <f>Zenith!E72</f>
        <v>5482</v>
      </c>
      <c r="AT70" s="55">
        <f>AS$69+AS$70</f>
        <v>5482</v>
      </c>
      <c r="AU70" s="12"/>
      <c r="AV70" s="15"/>
      <c r="AW70" s="5">
        <f>Zuerich!E72</f>
        <v>0</v>
      </c>
      <c r="AX70" s="55">
        <f>AW$69+AW$70</f>
        <v>9703.097942099965</v>
      </c>
      <c r="AY70" s="15"/>
      <c r="AZ70" s="34"/>
      <c r="BA70" s="5">
        <f>E70+I70+M70+Q70+U70+Y70+AC70+AG70+AK70+AO70+AS70+AW70</f>
        <v>8499.748870000001</v>
      </c>
      <c r="BB70" s="55">
        <f>BA$69+BA$70</f>
        <v>83682.07202209995</v>
      </c>
      <c r="BC70" s="13"/>
    </row>
    <row r="71" spans="1:55" ht="13.5" thickBot="1">
      <c r="A71" s="49"/>
      <c r="B71" s="49"/>
      <c r="C71" s="25" t="s">
        <v>16</v>
      </c>
      <c r="D71" s="33"/>
      <c r="E71" s="26"/>
      <c r="F71" s="55">
        <f>F$66+F$68-F$70</f>
        <v>154967.26600000003</v>
      </c>
      <c r="G71" s="12"/>
      <c r="H71" s="15"/>
      <c r="I71" s="26"/>
      <c r="J71" s="55">
        <f>J$66+J$68-J$70</f>
        <v>208901.24400000004</v>
      </c>
      <c r="K71" s="15"/>
      <c r="L71" s="33"/>
      <c r="M71" s="26"/>
      <c r="N71" s="55">
        <f>N$66+N$68-N$70</f>
        <v>8987.239129999998</v>
      </c>
      <c r="O71" s="12"/>
      <c r="P71" s="15"/>
      <c r="Q71" s="26"/>
      <c r="R71" s="55">
        <f>R$66+R$68-R$70</f>
        <v>249358.94725174</v>
      </c>
      <c r="S71" s="15"/>
      <c r="T71" s="33"/>
      <c r="U71" s="26"/>
      <c r="V71" s="55">
        <f>V$66+V$68-V$70</f>
        <v>181955.1948</v>
      </c>
      <c r="W71" s="12"/>
      <c r="X71" s="15"/>
      <c r="Y71" s="26"/>
      <c r="Z71" s="55">
        <f>Z$66+Z$68-Z$70</f>
        <v>48786</v>
      </c>
      <c r="AA71" s="15"/>
      <c r="AB71" s="33"/>
      <c r="AC71" s="26"/>
      <c r="AD71" s="55">
        <f>AD$66+AD$68-AD$70</f>
        <v>70000</v>
      </c>
      <c r="AE71" s="12"/>
      <c r="AF71" s="15"/>
      <c r="AG71" s="26"/>
      <c r="AH71" s="55">
        <f>AH$66+AH$68-AH$70</f>
        <v>2368</v>
      </c>
      <c r="AI71" s="15"/>
      <c r="AJ71" s="33"/>
      <c r="AK71" s="26"/>
      <c r="AL71" s="55">
        <f>AL$66+AL$68-AL$70</f>
        <v>690028.583</v>
      </c>
      <c r="AM71" s="12"/>
      <c r="AN71" s="15"/>
      <c r="AO71" s="26"/>
      <c r="AP71" s="55">
        <f>AP$66+AP$68-AP$70</f>
        <v>514831</v>
      </c>
      <c r="AQ71" s="15"/>
      <c r="AR71" s="33"/>
      <c r="AS71" s="26"/>
      <c r="AT71" s="55">
        <f>AT$66+AT$68-AT$70</f>
        <v>0.24399999999968713</v>
      </c>
      <c r="AU71" s="12"/>
      <c r="AV71" s="15"/>
      <c r="AW71" s="26"/>
      <c r="AX71" s="55">
        <f>AX$66+AX$68-AX$70</f>
        <v>346917.809638179</v>
      </c>
      <c r="AY71" s="15"/>
      <c r="AZ71" s="34"/>
      <c r="BA71" s="6"/>
      <c r="BB71" s="55">
        <f>BB$66+BB$68-BB$70</f>
        <v>2477101.5278199194</v>
      </c>
      <c r="BC71" s="13"/>
    </row>
    <row r="72" spans="1:55" ht="12.75">
      <c r="A72" s="49"/>
      <c r="B72" s="49"/>
      <c r="C72" s="25"/>
      <c r="D72" s="33"/>
      <c r="E72" s="60"/>
      <c r="F72" s="58"/>
      <c r="G72" s="12"/>
      <c r="H72" s="15"/>
      <c r="I72" s="60"/>
      <c r="J72" s="58"/>
      <c r="K72" s="15"/>
      <c r="L72" s="33"/>
      <c r="M72" s="60"/>
      <c r="N72" s="58"/>
      <c r="O72" s="12"/>
      <c r="P72" s="15"/>
      <c r="Q72" s="60"/>
      <c r="R72" s="58"/>
      <c r="S72" s="15"/>
      <c r="T72" s="33"/>
      <c r="U72" s="60"/>
      <c r="V72" s="58"/>
      <c r="W72" s="12"/>
      <c r="X72" s="15"/>
      <c r="Y72" s="60"/>
      <c r="Z72" s="58"/>
      <c r="AA72" s="15"/>
      <c r="AB72" s="33"/>
      <c r="AC72" s="60"/>
      <c r="AD72" s="58"/>
      <c r="AE72" s="12"/>
      <c r="AF72" s="15"/>
      <c r="AG72" s="60"/>
      <c r="AH72" s="58"/>
      <c r="AI72" s="15"/>
      <c r="AJ72" s="33"/>
      <c r="AK72" s="60"/>
      <c r="AL72" s="58"/>
      <c r="AM72" s="12"/>
      <c r="AN72" s="15"/>
      <c r="AO72" s="60"/>
      <c r="AP72" s="58"/>
      <c r="AQ72" s="15"/>
      <c r="AR72" s="33"/>
      <c r="AS72" s="60"/>
      <c r="AT72" s="58"/>
      <c r="AU72" s="12"/>
      <c r="AV72" s="15"/>
      <c r="AW72" s="60"/>
      <c r="AX72" s="58"/>
      <c r="AY72" s="15"/>
      <c r="AZ72" s="34"/>
      <c r="BA72" s="6"/>
      <c r="BB72" s="6"/>
      <c r="BC72" s="13"/>
    </row>
    <row r="73" spans="1:55" ht="12.75">
      <c r="A73" s="48" t="s">
        <v>100</v>
      </c>
      <c r="B73" s="49"/>
      <c r="C73" s="25"/>
      <c r="D73" s="33"/>
      <c r="E73" s="60"/>
      <c r="F73" s="61"/>
      <c r="G73" s="12"/>
      <c r="H73" s="15"/>
      <c r="I73" s="60"/>
      <c r="J73" s="61"/>
      <c r="K73" s="15"/>
      <c r="L73" s="33"/>
      <c r="M73" s="60"/>
      <c r="N73" s="61"/>
      <c r="O73" s="12"/>
      <c r="P73" s="15"/>
      <c r="Q73" s="60"/>
      <c r="R73" s="61"/>
      <c r="S73" s="15"/>
      <c r="T73" s="33"/>
      <c r="U73" s="60"/>
      <c r="V73" s="61"/>
      <c r="W73" s="12"/>
      <c r="X73" s="15"/>
      <c r="Y73" s="60"/>
      <c r="Z73" s="61"/>
      <c r="AA73" s="15"/>
      <c r="AB73" s="33"/>
      <c r="AC73" s="60"/>
      <c r="AD73" s="61"/>
      <c r="AE73" s="12"/>
      <c r="AF73" s="15"/>
      <c r="AG73" s="60"/>
      <c r="AH73" s="61"/>
      <c r="AI73" s="15"/>
      <c r="AJ73" s="33"/>
      <c r="AK73" s="60"/>
      <c r="AL73" s="61"/>
      <c r="AM73" s="12"/>
      <c r="AN73" s="15"/>
      <c r="AO73" s="60"/>
      <c r="AP73" s="61"/>
      <c r="AQ73" s="15"/>
      <c r="AR73" s="33"/>
      <c r="AS73" s="60"/>
      <c r="AT73" s="61"/>
      <c r="AU73" s="12"/>
      <c r="AV73" s="15"/>
      <c r="AW73" s="60"/>
      <c r="AX73" s="61"/>
      <c r="AY73" s="15"/>
      <c r="AZ73" s="34"/>
      <c r="BA73" s="6"/>
      <c r="BB73" s="6"/>
      <c r="BC73" s="13"/>
    </row>
    <row r="74" spans="1:55" ht="13.5" thickBot="1">
      <c r="A74" s="25"/>
      <c r="B74" s="25" t="s">
        <v>17</v>
      </c>
      <c r="C74" s="25" t="s">
        <v>101</v>
      </c>
      <c r="D74" s="73"/>
      <c r="E74" s="55">
        <f>E$14-E$15</f>
        <v>238736.75400000002</v>
      </c>
      <c r="F74" s="55">
        <f>F$16</f>
        <v>215995.999</v>
      </c>
      <c r="G74" s="36"/>
      <c r="H74" s="26"/>
      <c r="I74" s="55">
        <f>I$14-I$15</f>
        <v>513654.44100000005</v>
      </c>
      <c r="J74" s="55">
        <f>J$16</f>
        <v>473197.04600000003</v>
      </c>
      <c r="K74" s="26"/>
      <c r="L74" s="73"/>
      <c r="M74" s="55">
        <f>M$14-M$15</f>
        <v>13451.887049999998</v>
      </c>
      <c r="N74" s="55">
        <f>N$16</f>
        <v>11343.192549999998</v>
      </c>
      <c r="O74" s="36"/>
      <c r="P74" s="26"/>
      <c r="Q74" s="55">
        <f>Q$14-Q$15</f>
        <v>339241.8953599999</v>
      </c>
      <c r="R74" s="55">
        <f>R$16</f>
        <v>306974.7112459999</v>
      </c>
      <c r="S74" s="26"/>
      <c r="T74" s="73"/>
      <c r="U74" s="55">
        <f>U$14-U$15</f>
        <v>44853.700000000004</v>
      </c>
      <c r="V74" s="55">
        <f>V$16</f>
        <v>41810.9</v>
      </c>
      <c r="W74" s="36"/>
      <c r="X74" s="26"/>
      <c r="Y74" s="55">
        <f>Y$14-Y$15</f>
        <v>51840</v>
      </c>
      <c r="Z74" s="55">
        <f>Z$16</f>
        <v>46908</v>
      </c>
      <c r="AA74" s="26"/>
      <c r="AB74" s="73"/>
      <c r="AC74" s="55">
        <f>AC$14-AC$15</f>
        <v>73305</v>
      </c>
      <c r="AD74" s="55">
        <f>AD$16</f>
        <v>66731.929</v>
      </c>
      <c r="AE74" s="36"/>
      <c r="AF74" s="26"/>
      <c r="AG74" s="55">
        <f>AG$14-AG$15</f>
        <v>3731</v>
      </c>
      <c r="AH74" s="55">
        <f>AH$16</f>
        <v>3564</v>
      </c>
      <c r="AI74" s="26"/>
      <c r="AJ74" s="73"/>
      <c r="AK74" s="55">
        <f>AK$14-AK$15</f>
        <v>1542593.5815500005</v>
      </c>
      <c r="AL74" s="55">
        <f>AL$16</f>
        <v>1454307.5584200006</v>
      </c>
      <c r="AM74" s="36"/>
      <c r="AN74" s="26"/>
      <c r="AO74" s="55">
        <f>AO$14-AO$15</f>
        <v>1360542</v>
      </c>
      <c r="AP74" s="55">
        <f>AP$16</f>
        <v>1250834</v>
      </c>
      <c r="AQ74" s="26"/>
      <c r="AR74" s="73"/>
      <c r="AS74" s="55">
        <f>AS$14-AS$15</f>
        <v>1274</v>
      </c>
      <c r="AT74" s="55">
        <f>AT$16</f>
        <v>998</v>
      </c>
      <c r="AU74" s="36"/>
      <c r="AV74" s="26"/>
      <c r="AW74" s="55">
        <f>AW$14-AW$15</f>
        <v>348546.3247600001</v>
      </c>
      <c r="AX74" s="55">
        <f>AX$16</f>
        <v>342241.2094000001</v>
      </c>
      <c r="AY74" s="26"/>
      <c r="AZ74" s="34"/>
      <c r="BA74" s="55">
        <f>BA$14-BA$15</f>
        <v>4531770.58372</v>
      </c>
      <c r="BB74" s="55">
        <f>BB$16</f>
        <v>4214906.545616001</v>
      </c>
      <c r="BC74" s="13"/>
    </row>
    <row r="75" spans="1:55" ht="12.75">
      <c r="A75" s="25"/>
      <c r="B75" s="25"/>
      <c r="C75" s="25"/>
      <c r="D75" s="73"/>
      <c r="E75" s="58"/>
      <c r="F75" s="58"/>
      <c r="G75" s="36"/>
      <c r="H75" s="26"/>
      <c r="I75" s="58"/>
      <c r="J75" s="58"/>
      <c r="K75" s="26"/>
      <c r="L75" s="73"/>
      <c r="M75" s="58"/>
      <c r="N75" s="58"/>
      <c r="O75" s="36"/>
      <c r="P75" s="26"/>
      <c r="Q75" s="58"/>
      <c r="R75" s="58"/>
      <c r="S75" s="26"/>
      <c r="T75" s="73"/>
      <c r="U75" s="58"/>
      <c r="V75" s="58"/>
      <c r="W75" s="36"/>
      <c r="X75" s="26"/>
      <c r="Y75" s="58"/>
      <c r="Z75" s="58"/>
      <c r="AA75" s="26"/>
      <c r="AB75" s="73"/>
      <c r="AC75" s="58"/>
      <c r="AD75" s="58"/>
      <c r="AE75" s="36"/>
      <c r="AF75" s="26"/>
      <c r="AG75" s="58"/>
      <c r="AH75" s="58"/>
      <c r="AI75" s="26"/>
      <c r="AJ75" s="73"/>
      <c r="AK75" s="58"/>
      <c r="AL75" s="58"/>
      <c r="AM75" s="36"/>
      <c r="AN75" s="26"/>
      <c r="AO75" s="58"/>
      <c r="AP75" s="58"/>
      <c r="AQ75" s="26"/>
      <c r="AR75" s="73"/>
      <c r="AS75" s="58"/>
      <c r="AT75" s="58"/>
      <c r="AU75" s="36"/>
      <c r="AV75" s="26"/>
      <c r="AW75" s="58"/>
      <c r="AX75" s="58"/>
      <c r="AY75" s="26"/>
      <c r="AZ75" s="34"/>
      <c r="BA75" s="6"/>
      <c r="BB75" s="6"/>
      <c r="BC75" s="13"/>
    </row>
    <row r="76" spans="1:55" ht="12.75">
      <c r="A76" s="25"/>
      <c r="B76" s="25" t="s">
        <v>20</v>
      </c>
      <c r="C76" s="25" t="s">
        <v>102</v>
      </c>
      <c r="D76" s="73"/>
      <c r="E76" s="58" t="s">
        <v>18</v>
      </c>
      <c r="F76" s="58" t="s">
        <v>19</v>
      </c>
      <c r="G76" s="36"/>
      <c r="H76" s="26"/>
      <c r="I76" s="58" t="s">
        <v>18</v>
      </c>
      <c r="J76" s="58" t="s">
        <v>19</v>
      </c>
      <c r="K76" s="26"/>
      <c r="L76" s="73"/>
      <c r="M76" s="58" t="s">
        <v>18</v>
      </c>
      <c r="N76" s="58" t="s">
        <v>19</v>
      </c>
      <c r="O76" s="36"/>
      <c r="P76" s="26"/>
      <c r="Q76" s="58" t="s">
        <v>18</v>
      </c>
      <c r="R76" s="58" t="s">
        <v>19</v>
      </c>
      <c r="S76" s="26"/>
      <c r="T76" s="73"/>
      <c r="U76" s="58" t="s">
        <v>18</v>
      </c>
      <c r="V76" s="58" t="s">
        <v>19</v>
      </c>
      <c r="W76" s="36"/>
      <c r="X76" s="26"/>
      <c r="Y76" s="58" t="s">
        <v>18</v>
      </c>
      <c r="Z76" s="58" t="s">
        <v>19</v>
      </c>
      <c r="AA76" s="26"/>
      <c r="AB76" s="73"/>
      <c r="AC76" s="58" t="s">
        <v>18</v>
      </c>
      <c r="AD76" s="58" t="s">
        <v>19</v>
      </c>
      <c r="AE76" s="36"/>
      <c r="AF76" s="26"/>
      <c r="AG76" s="58" t="s">
        <v>18</v>
      </c>
      <c r="AH76" s="58" t="s">
        <v>19</v>
      </c>
      <c r="AI76" s="26"/>
      <c r="AJ76" s="73"/>
      <c r="AK76" s="58" t="s">
        <v>18</v>
      </c>
      <c r="AL76" s="58" t="s">
        <v>19</v>
      </c>
      <c r="AM76" s="36"/>
      <c r="AN76" s="26"/>
      <c r="AO76" s="58" t="s">
        <v>18</v>
      </c>
      <c r="AP76" s="58" t="s">
        <v>19</v>
      </c>
      <c r="AQ76" s="26"/>
      <c r="AR76" s="73"/>
      <c r="AS76" s="58" t="s">
        <v>18</v>
      </c>
      <c r="AT76" s="58" t="s">
        <v>19</v>
      </c>
      <c r="AU76" s="36"/>
      <c r="AV76" s="26"/>
      <c r="AW76" s="58" t="s">
        <v>18</v>
      </c>
      <c r="AX76" s="58" t="s">
        <v>19</v>
      </c>
      <c r="AY76" s="26"/>
      <c r="AZ76" s="34"/>
      <c r="BA76" s="30" t="s">
        <v>18</v>
      </c>
      <c r="BB76" s="30" t="s">
        <v>19</v>
      </c>
      <c r="BC76" s="13"/>
    </row>
    <row r="77" spans="1:55" ht="12.75">
      <c r="A77" s="25"/>
      <c r="B77" s="25"/>
      <c r="C77" s="25" t="s">
        <v>21</v>
      </c>
      <c r="D77" s="73"/>
      <c r="E77" s="84">
        <f>'Allianz Suisse'!E79</f>
        <v>5822537.356000001</v>
      </c>
      <c r="F77" s="85">
        <f>'Allianz Suisse'!F79</f>
        <v>5995466.245</v>
      </c>
      <c r="G77" s="36"/>
      <c r="H77" s="26"/>
      <c r="I77" s="84">
        <f>Basler!E79</f>
        <v>11787084</v>
      </c>
      <c r="J77" s="85">
        <f>Basler!F79</f>
        <v>12682119</v>
      </c>
      <c r="K77" s="26"/>
      <c r="L77" s="73"/>
      <c r="M77" s="84">
        <f>Generali!E79</f>
        <v>535839.777</v>
      </c>
      <c r="N77" s="85">
        <f>Generali!F79</f>
        <v>508053</v>
      </c>
      <c r="O77" s="36"/>
      <c r="P77" s="26"/>
      <c r="Q77" s="84">
        <f>Helvetia!E79</f>
        <v>9885563.616999999</v>
      </c>
      <c r="R77" s="85">
        <f>Helvetia!F79</f>
        <v>10165625.275</v>
      </c>
      <c r="S77" s="26"/>
      <c r="T77" s="73"/>
      <c r="U77" s="84">
        <f>Mobiliar!E79</f>
        <v>1986154.9</v>
      </c>
      <c r="V77" s="85">
        <f>Mobiliar!F79</f>
        <v>2051317.4</v>
      </c>
      <c r="W77" s="36"/>
      <c r="X77" s="26"/>
      <c r="Y77" s="84">
        <f>Nationale!E79</f>
        <v>1437696</v>
      </c>
      <c r="Z77" s="85">
        <f>Nationale!F79</f>
        <v>1448591</v>
      </c>
      <c r="AA77" s="26"/>
      <c r="AB77" s="73"/>
      <c r="AC77" s="84">
        <f>Pax!E79</f>
        <v>2469411</v>
      </c>
      <c r="AD77" s="85">
        <f>Pax!F79</f>
        <v>2590350</v>
      </c>
      <c r="AE77" s="36"/>
      <c r="AF77" s="26"/>
      <c r="AG77" s="84">
        <f>Phenix!E79</f>
        <v>102139</v>
      </c>
      <c r="AH77" s="85">
        <f>Phenix!F79</f>
        <v>104754</v>
      </c>
      <c r="AI77" s="26"/>
      <c r="AJ77" s="73"/>
      <c r="AK77" s="84">
        <f>Rentenanstalt!E79</f>
        <v>44686386.92200001</v>
      </c>
      <c r="AL77" s="85">
        <f>Rentenanstalt!F79</f>
        <v>45592906.083</v>
      </c>
      <c r="AM77" s="36"/>
      <c r="AN77" s="26"/>
      <c r="AO77" s="84">
        <f>Winterthur!E79</f>
        <v>37501902</v>
      </c>
      <c r="AP77" s="85">
        <f>Winterthur!F79</f>
        <v>38519165</v>
      </c>
      <c r="AQ77" s="26"/>
      <c r="AR77" s="73"/>
      <c r="AS77" s="84">
        <f>Zenith!E79</f>
        <v>141712</v>
      </c>
      <c r="AT77" s="85">
        <f>Zenith!F79</f>
        <v>141225</v>
      </c>
      <c r="AU77" s="36"/>
      <c r="AV77" s="26"/>
      <c r="AW77" s="84">
        <f>Zuerich!E79</f>
        <v>9075915</v>
      </c>
      <c r="AX77" s="85">
        <f>Zuerich!F79</f>
        <v>9467520</v>
      </c>
      <c r="AY77" s="26"/>
      <c r="AZ77" s="34"/>
      <c r="BA77" s="84">
        <f>E77+I77+M77+Q77+U77+Y77+AC77+AG77+AK77+AO77+AS77+AW77</f>
        <v>125432341.572</v>
      </c>
      <c r="BB77" s="85">
        <f>F77+J77+N77+R77+V77+Z77+AD77+AH77+AL77+AP77+AT77+AX77</f>
        <v>129267092.00299999</v>
      </c>
      <c r="BC77" s="13"/>
    </row>
    <row r="78" spans="1:55" ht="12.75">
      <c r="A78" s="25"/>
      <c r="B78" s="25"/>
      <c r="C78" s="25" t="s">
        <v>23</v>
      </c>
      <c r="D78" s="73"/>
      <c r="E78" s="84">
        <f>'Allianz Suisse'!E80</f>
        <v>6190620.510000001</v>
      </c>
      <c r="F78" s="85">
        <f>'Allianz Suisse'!F80</f>
        <v>6268334.552000001</v>
      </c>
      <c r="G78" s="36"/>
      <c r="H78" s="26"/>
      <c r="I78" s="84">
        <f>Basler!E80</f>
        <v>12168299.998000002</v>
      </c>
      <c r="J78" s="85">
        <f>Basler!F80</f>
        <v>12793393.492</v>
      </c>
      <c r="K78" s="26"/>
      <c r="L78" s="73"/>
      <c r="M78" s="84">
        <f>Generali!E80</f>
        <v>377349.66719999997</v>
      </c>
      <c r="N78" s="85">
        <f>Generali!F80</f>
        <v>357487</v>
      </c>
      <c r="O78" s="36"/>
      <c r="P78" s="26"/>
      <c r="Q78" s="84">
        <f>Helvetia!E80</f>
        <v>10013369.866279999</v>
      </c>
      <c r="R78" s="85">
        <f>Helvetia!F80</f>
        <v>10105021.354389999</v>
      </c>
      <c r="S78" s="26"/>
      <c r="T78" s="73"/>
      <c r="U78" s="84">
        <f>Mobiliar!E80</f>
        <v>2009164.9</v>
      </c>
      <c r="V78" s="85">
        <f>Mobiliar!F80</f>
        <v>2001781.4</v>
      </c>
      <c r="W78" s="36"/>
      <c r="X78" s="26"/>
      <c r="Y78" s="84">
        <f>Nationale!E80</f>
        <v>1576626</v>
      </c>
      <c r="Z78" s="85">
        <f>Nationale!F80</f>
        <v>1555650</v>
      </c>
      <c r="AA78" s="26"/>
      <c r="AB78" s="73"/>
      <c r="AC78" s="84">
        <f>Pax!E80</f>
        <v>2602364.335</v>
      </c>
      <c r="AD78" s="85">
        <f>Pax!F80</f>
        <v>2729407.9895</v>
      </c>
      <c r="AE78" s="36"/>
      <c r="AF78" s="26"/>
      <c r="AG78" s="84">
        <f>Phenix!E80</f>
        <v>114624</v>
      </c>
      <c r="AH78" s="85">
        <f>Phenix!F80</f>
        <v>114935</v>
      </c>
      <c r="AI78" s="26"/>
      <c r="AJ78" s="73"/>
      <c r="AK78" s="84">
        <f>Rentenanstalt!E80</f>
        <v>46695568.379030004</v>
      </c>
      <c r="AL78" s="85">
        <f>Rentenanstalt!F80</f>
        <v>46377604.7756204</v>
      </c>
      <c r="AM78" s="36"/>
      <c r="AN78" s="26"/>
      <c r="AO78" s="84">
        <f>Winterthur!E80</f>
        <v>39716366</v>
      </c>
      <c r="AP78" s="85">
        <f>Winterthur!F80</f>
        <v>40173627</v>
      </c>
      <c r="AQ78" s="26"/>
      <c r="AR78" s="73"/>
      <c r="AS78" s="84">
        <f>Zenith!E80</f>
        <v>70132.96495</v>
      </c>
      <c r="AT78" s="85">
        <f>Zenith!F80</f>
        <v>69422</v>
      </c>
      <c r="AU78" s="36"/>
      <c r="AV78" s="26"/>
      <c r="AW78" s="84">
        <f>Zuerich!E80</f>
        <v>6873441.23604</v>
      </c>
      <c r="AX78" s="85">
        <f>Zuerich!F80</f>
        <v>7006492</v>
      </c>
      <c r="AY78" s="26"/>
      <c r="AZ78" s="34"/>
      <c r="BA78" s="84">
        <f>E78+I78+M78+Q78+U78+Y78+AC78+AG78+AK78+AO78+AS78+AW78</f>
        <v>128407927.8565</v>
      </c>
      <c r="BB78" s="85">
        <f>F78+J78+N78+R78+V78+Z78+AD78+AH78+AL78+AP78+AT78+AX78</f>
        <v>129553156.56351039</v>
      </c>
      <c r="BC78" s="13"/>
    </row>
    <row r="79" spans="1:55" ht="12.75">
      <c r="A79" s="25"/>
      <c r="B79" s="25"/>
      <c r="C79" s="25"/>
      <c r="D79" s="74"/>
      <c r="E79" s="26"/>
      <c r="F79" s="59"/>
      <c r="G79" s="36"/>
      <c r="H79" s="59"/>
      <c r="I79" s="26"/>
      <c r="J79" s="59"/>
      <c r="K79" s="26"/>
      <c r="L79" s="74"/>
      <c r="M79" s="26"/>
      <c r="N79" s="59"/>
      <c r="O79" s="36"/>
      <c r="P79" s="59"/>
      <c r="Q79" s="26"/>
      <c r="R79" s="59"/>
      <c r="S79" s="26"/>
      <c r="T79" s="74"/>
      <c r="U79" s="26"/>
      <c r="V79" s="59"/>
      <c r="W79" s="36"/>
      <c r="X79" s="59"/>
      <c r="Y79" s="26"/>
      <c r="Z79" s="59"/>
      <c r="AA79" s="26"/>
      <c r="AB79" s="74"/>
      <c r="AC79" s="26"/>
      <c r="AD79" s="59"/>
      <c r="AE79" s="36"/>
      <c r="AF79" s="59"/>
      <c r="AG79" s="26"/>
      <c r="AH79" s="59"/>
      <c r="AI79" s="26"/>
      <c r="AJ79" s="74"/>
      <c r="AK79" s="26"/>
      <c r="AL79" s="59"/>
      <c r="AM79" s="36"/>
      <c r="AN79" s="59"/>
      <c r="AO79" s="26"/>
      <c r="AP79" s="59"/>
      <c r="AQ79" s="26"/>
      <c r="AR79" s="74"/>
      <c r="AS79" s="26"/>
      <c r="AT79" s="59"/>
      <c r="AU79" s="36"/>
      <c r="AV79" s="59"/>
      <c r="AW79" s="26"/>
      <c r="AX79" s="59"/>
      <c r="AY79" s="26"/>
      <c r="AZ79" s="34"/>
      <c r="BA79" s="6"/>
      <c r="BB79" s="6"/>
      <c r="BC79" s="13"/>
    </row>
    <row r="80" spans="1:55" ht="12.75">
      <c r="A80" s="25"/>
      <c r="B80" s="25" t="s">
        <v>22</v>
      </c>
      <c r="C80" s="25" t="s">
        <v>103</v>
      </c>
      <c r="D80" s="74"/>
      <c r="E80" s="26"/>
      <c r="F80" s="59"/>
      <c r="G80" s="36"/>
      <c r="H80" s="59"/>
      <c r="I80" s="26"/>
      <c r="J80" s="59"/>
      <c r="K80" s="26"/>
      <c r="L80" s="74"/>
      <c r="M80" s="26"/>
      <c r="N80" s="59"/>
      <c r="O80" s="36"/>
      <c r="P80" s="59"/>
      <c r="Q80" s="26"/>
      <c r="R80" s="59"/>
      <c r="S80" s="26"/>
      <c r="T80" s="74"/>
      <c r="U80" s="26"/>
      <c r="V80" s="59"/>
      <c r="W80" s="36"/>
      <c r="X80" s="59"/>
      <c r="Y80" s="26"/>
      <c r="Z80" s="59"/>
      <c r="AA80" s="26"/>
      <c r="AB80" s="74"/>
      <c r="AC80" s="26"/>
      <c r="AD80" s="59"/>
      <c r="AE80" s="36"/>
      <c r="AF80" s="59"/>
      <c r="AG80" s="26"/>
      <c r="AH80" s="59"/>
      <c r="AI80" s="26"/>
      <c r="AJ80" s="74"/>
      <c r="AK80" s="26"/>
      <c r="AL80" s="59"/>
      <c r="AM80" s="36"/>
      <c r="AN80" s="59"/>
      <c r="AO80" s="26"/>
      <c r="AP80" s="59"/>
      <c r="AQ80" s="26"/>
      <c r="AR80" s="74"/>
      <c r="AS80" s="26"/>
      <c r="AT80" s="59"/>
      <c r="AU80" s="36"/>
      <c r="AV80" s="59"/>
      <c r="AW80" s="26"/>
      <c r="AX80" s="59"/>
      <c r="AY80" s="26"/>
      <c r="AZ80" s="34"/>
      <c r="BA80" s="6"/>
      <c r="BB80" s="6"/>
      <c r="BC80" s="13"/>
    </row>
    <row r="81" spans="1:55" ht="13.5" thickBot="1">
      <c r="A81" s="25"/>
      <c r="B81" s="25"/>
      <c r="C81" s="25" t="s">
        <v>104</v>
      </c>
      <c r="D81" s="74"/>
      <c r="E81" s="61"/>
      <c r="F81" s="55">
        <f>F$77-E$77</f>
        <v>172928.8889999995</v>
      </c>
      <c r="G81" s="75"/>
      <c r="H81" s="59"/>
      <c r="I81" s="61"/>
      <c r="J81" s="55">
        <f>J$77-I$77</f>
        <v>895035</v>
      </c>
      <c r="K81" s="61"/>
      <c r="L81" s="74"/>
      <c r="M81" s="61"/>
      <c r="N81" s="55">
        <f>N$77-M$77</f>
        <v>-27786.777000000002</v>
      </c>
      <c r="O81" s="75"/>
      <c r="P81" s="59"/>
      <c r="Q81" s="61"/>
      <c r="R81" s="55">
        <f>R$77-Q$77</f>
        <v>280061.6580000017</v>
      </c>
      <c r="S81" s="61"/>
      <c r="T81" s="74"/>
      <c r="U81" s="61"/>
      <c r="V81" s="55">
        <f>V$77-U$77</f>
        <v>65162.5</v>
      </c>
      <c r="W81" s="75"/>
      <c r="X81" s="59"/>
      <c r="Y81" s="61"/>
      <c r="Z81" s="55">
        <f>Z$77-Y$77</f>
        <v>10895</v>
      </c>
      <c r="AA81" s="61"/>
      <c r="AB81" s="74"/>
      <c r="AC81" s="61"/>
      <c r="AD81" s="55">
        <f>AD$77-AC$77</f>
        <v>120939</v>
      </c>
      <c r="AE81" s="75"/>
      <c r="AF81" s="59"/>
      <c r="AG81" s="61"/>
      <c r="AH81" s="55">
        <f>AH$77-AG$77</f>
        <v>2615</v>
      </c>
      <c r="AI81" s="61"/>
      <c r="AJ81" s="74"/>
      <c r="AK81" s="61"/>
      <c r="AL81" s="55">
        <f>AL$77-AK$77</f>
        <v>906519.1609999835</v>
      </c>
      <c r="AM81" s="75"/>
      <c r="AN81" s="59"/>
      <c r="AO81" s="61"/>
      <c r="AP81" s="55">
        <f>AP$77-AO$77</f>
        <v>1017263</v>
      </c>
      <c r="AQ81" s="61"/>
      <c r="AR81" s="74"/>
      <c r="AS81" s="61"/>
      <c r="AT81" s="55">
        <f>AT$77-AS$77</f>
        <v>-487</v>
      </c>
      <c r="AU81" s="75"/>
      <c r="AV81" s="59"/>
      <c r="AW81" s="61"/>
      <c r="AX81" s="55">
        <f>AX$77-AW$77</f>
        <v>391605</v>
      </c>
      <c r="AY81" s="61"/>
      <c r="AZ81" s="34"/>
      <c r="BA81" s="6"/>
      <c r="BB81" s="55">
        <f>BB$77-BA$77</f>
        <v>3834750.4309999943</v>
      </c>
      <c r="BC81" s="13"/>
    </row>
    <row r="82" spans="1:55" ht="13.5" thickBot="1">
      <c r="A82" s="25"/>
      <c r="B82" s="25"/>
      <c r="C82" s="25" t="s">
        <v>105</v>
      </c>
      <c r="D82" s="73"/>
      <c r="E82" s="26"/>
      <c r="F82" s="55">
        <f>F$78-E$78</f>
        <v>77714.04200000037</v>
      </c>
      <c r="G82" s="36"/>
      <c r="H82" s="26"/>
      <c r="I82" s="26"/>
      <c r="J82" s="55">
        <f>J$78-I$78</f>
        <v>625093.493999999</v>
      </c>
      <c r="K82" s="26"/>
      <c r="L82" s="73"/>
      <c r="M82" s="26"/>
      <c r="N82" s="55">
        <f>N$78-M$78</f>
        <v>-19862.667199999967</v>
      </c>
      <c r="O82" s="36"/>
      <c r="P82" s="26"/>
      <c r="Q82" s="26"/>
      <c r="R82" s="55">
        <f>R$78-Q$78</f>
        <v>91651.48811000027</v>
      </c>
      <c r="S82" s="26"/>
      <c r="T82" s="73"/>
      <c r="U82" s="26"/>
      <c r="V82" s="55">
        <f>V$78-U$78</f>
        <v>-7383.5</v>
      </c>
      <c r="W82" s="36"/>
      <c r="X82" s="26"/>
      <c r="Y82" s="26"/>
      <c r="Z82" s="55">
        <f>Z$78-Y$78</f>
        <v>-20976</v>
      </c>
      <c r="AA82" s="26"/>
      <c r="AB82" s="73"/>
      <c r="AC82" s="26"/>
      <c r="AD82" s="55">
        <f>AD$78-AC$78</f>
        <v>127043.65450000018</v>
      </c>
      <c r="AE82" s="36"/>
      <c r="AF82" s="26"/>
      <c r="AG82" s="26"/>
      <c r="AH82" s="55">
        <f>AH$78-AG$78</f>
        <v>311</v>
      </c>
      <c r="AI82" s="26"/>
      <c r="AJ82" s="73"/>
      <c r="AK82" s="26"/>
      <c r="AL82" s="55">
        <f>AL$78-AK$78</f>
        <v>-317963.60340960324</v>
      </c>
      <c r="AM82" s="36"/>
      <c r="AN82" s="26"/>
      <c r="AO82" s="26"/>
      <c r="AP82" s="55">
        <f>AP$78-AO$78</f>
        <v>457261</v>
      </c>
      <c r="AQ82" s="26"/>
      <c r="AR82" s="73"/>
      <c r="AS82" s="26"/>
      <c r="AT82" s="55">
        <f>AT$78-AS$78</f>
        <v>-710.9649499999941</v>
      </c>
      <c r="AU82" s="36"/>
      <c r="AV82" s="26"/>
      <c r="AW82" s="26"/>
      <c r="AX82" s="55">
        <f>AX$78-AW$78</f>
        <v>133050.76396000013</v>
      </c>
      <c r="AY82" s="26"/>
      <c r="AZ82" s="34"/>
      <c r="BA82" s="6"/>
      <c r="BB82" s="55">
        <f>BB$78-BA$78</f>
        <v>1145228.7070103884</v>
      </c>
      <c r="BC82" s="13"/>
    </row>
    <row r="83" spans="1:55" ht="13.5" thickBot="1">
      <c r="A83" s="25"/>
      <c r="B83" s="25"/>
      <c r="C83" s="25" t="s">
        <v>106</v>
      </c>
      <c r="D83" s="74"/>
      <c r="E83" s="26"/>
      <c r="F83" s="55">
        <f>F$82-F$81</f>
        <v>-95214.84699999914</v>
      </c>
      <c r="G83" s="36"/>
      <c r="H83" s="59"/>
      <c r="I83" s="26"/>
      <c r="J83" s="55">
        <f>J$82-J$81</f>
        <v>-269941.506000001</v>
      </c>
      <c r="K83" s="26"/>
      <c r="L83" s="74"/>
      <c r="M83" s="26"/>
      <c r="N83" s="55">
        <f>N$82-N$81</f>
        <v>7924.109800000035</v>
      </c>
      <c r="O83" s="36"/>
      <c r="P83" s="59"/>
      <c r="Q83" s="26"/>
      <c r="R83" s="55">
        <f>R$82-R$81</f>
        <v>-188410.16989000142</v>
      </c>
      <c r="S83" s="26"/>
      <c r="T83" s="74"/>
      <c r="U83" s="26"/>
      <c r="V83" s="55">
        <f>V$82-V$81</f>
        <v>-72546</v>
      </c>
      <c r="W83" s="36"/>
      <c r="X83" s="59"/>
      <c r="Y83" s="26"/>
      <c r="Z83" s="55">
        <f>Z$82-Z$81</f>
        <v>-31871</v>
      </c>
      <c r="AA83" s="26"/>
      <c r="AB83" s="74"/>
      <c r="AC83" s="26"/>
      <c r="AD83" s="55">
        <f>AD$82-AD$81</f>
        <v>6104.654500000179</v>
      </c>
      <c r="AE83" s="36"/>
      <c r="AF83" s="59"/>
      <c r="AG83" s="26"/>
      <c r="AH83" s="55">
        <f>AH$82-AH$81</f>
        <v>-2304</v>
      </c>
      <c r="AI83" s="26"/>
      <c r="AJ83" s="74"/>
      <c r="AK83" s="26"/>
      <c r="AL83" s="55">
        <f>AL$82-AL$81</f>
        <v>-1224482.7644095868</v>
      </c>
      <c r="AM83" s="36"/>
      <c r="AN83" s="59"/>
      <c r="AO83" s="26"/>
      <c r="AP83" s="55">
        <f>AP$82-AP$81</f>
        <v>-560002</v>
      </c>
      <c r="AQ83" s="26"/>
      <c r="AR83" s="74"/>
      <c r="AS83" s="26"/>
      <c r="AT83" s="55">
        <f>AT$82-AT$81</f>
        <v>-223.96494999999413</v>
      </c>
      <c r="AU83" s="36"/>
      <c r="AV83" s="59"/>
      <c r="AW83" s="26"/>
      <c r="AX83" s="55">
        <f>AX$82-AX$81</f>
        <v>-258554.23603999987</v>
      </c>
      <c r="AY83" s="26"/>
      <c r="AZ83" s="34"/>
      <c r="BA83" s="6"/>
      <c r="BB83" s="55">
        <f>BB$82-BB$81</f>
        <v>-2689521.723989606</v>
      </c>
      <c r="BC83" s="13"/>
    </row>
    <row r="84" spans="1:55" ht="12.75">
      <c r="A84" s="25"/>
      <c r="B84" s="25"/>
      <c r="C84" s="25"/>
      <c r="D84" s="74"/>
      <c r="E84" s="26"/>
      <c r="F84" s="59"/>
      <c r="G84" s="36"/>
      <c r="H84" s="59"/>
      <c r="I84" s="26"/>
      <c r="J84" s="59"/>
      <c r="K84" s="26"/>
      <c r="L84" s="74"/>
      <c r="M84" s="26"/>
      <c r="N84" s="59"/>
      <c r="O84" s="36"/>
      <c r="P84" s="59"/>
      <c r="Q84" s="26"/>
      <c r="R84" s="59"/>
      <c r="S84" s="26"/>
      <c r="T84" s="74"/>
      <c r="U84" s="26"/>
      <c r="V84" s="59"/>
      <c r="W84" s="36"/>
      <c r="X84" s="59"/>
      <c r="Y84" s="26"/>
      <c r="Z84" s="59"/>
      <c r="AA84" s="26"/>
      <c r="AB84" s="74"/>
      <c r="AC84" s="26"/>
      <c r="AD84" s="59"/>
      <c r="AE84" s="36"/>
      <c r="AF84" s="59"/>
      <c r="AG84" s="26"/>
      <c r="AH84" s="59"/>
      <c r="AI84" s="26"/>
      <c r="AJ84" s="74"/>
      <c r="AK84" s="26"/>
      <c r="AL84" s="59"/>
      <c r="AM84" s="36"/>
      <c r="AN84" s="59"/>
      <c r="AO84" s="26"/>
      <c r="AP84" s="59"/>
      <c r="AQ84" s="26"/>
      <c r="AR84" s="74"/>
      <c r="AS84" s="26"/>
      <c r="AT84" s="59"/>
      <c r="AU84" s="36"/>
      <c r="AV84" s="59"/>
      <c r="AW84" s="26"/>
      <c r="AX84" s="59"/>
      <c r="AY84" s="26"/>
      <c r="AZ84" s="34"/>
      <c r="BA84" s="6"/>
      <c r="BB84" s="6"/>
      <c r="BC84" s="13"/>
    </row>
    <row r="85" spans="1:55" ht="12.75">
      <c r="A85" s="25"/>
      <c r="B85" s="25" t="s">
        <v>24</v>
      </c>
      <c r="C85" s="25" t="s">
        <v>107</v>
      </c>
      <c r="D85" s="74"/>
      <c r="E85" s="57">
        <f>IF(E$77+E$78&gt;0,E$74/((E$77+E$78)/2),0)</f>
        <v>0.03974587808850493</v>
      </c>
      <c r="F85" s="57">
        <f>IF(E$77+E$78&gt;0,F$74/((E$77+E$78)/2),0)</f>
        <v>0.0359599035339939</v>
      </c>
      <c r="G85" s="75"/>
      <c r="H85" s="59"/>
      <c r="I85" s="57">
        <f>IF(I$77+I$78&gt;0,I$74/((I$77+I$78)/2),0)</f>
        <v>0.04288425859029304</v>
      </c>
      <c r="J85" s="57">
        <f>IF(I$77+I$78&gt;0,J$74/((I$77+I$78)/2),0)</f>
        <v>0.03950652980887357</v>
      </c>
      <c r="K85" s="61"/>
      <c r="L85" s="74"/>
      <c r="M85" s="57">
        <f>IF(M$77+M$78&gt;0,M$74/((M$77+M$78)/2),0)</f>
        <v>0.02946132839234586</v>
      </c>
      <c r="N85" s="57">
        <f>IF(M$77+M$78&gt;0,N$74/((M$77+M$78)/2),0)</f>
        <v>0.024843021614068712</v>
      </c>
      <c r="O85" s="75"/>
      <c r="P85" s="59"/>
      <c r="Q85" s="57">
        <f>IF(Q$77+Q$78&gt;0,Q$74/((Q$77+Q$78)/2),0)</f>
        <v>0.03409649021089966</v>
      </c>
      <c r="R85" s="57">
        <f>IF(Q$77+Q$78&gt;0,R$74/((Q$77+Q$78)/2),0)</f>
        <v>0.030853383323677548</v>
      </c>
      <c r="S85" s="61"/>
      <c r="T85" s="74"/>
      <c r="U85" s="57">
        <f>IF(U$77+U$78&gt;0,U$74/((U$77+U$78)/2),0)</f>
        <v>0.022453121274547287</v>
      </c>
      <c r="V85" s="57">
        <f>IF(U$77+U$78&gt;0,V$74/((U$77+U$78)/2),0)</f>
        <v>0.020929939075214957</v>
      </c>
      <c r="W85" s="75"/>
      <c r="X85" s="59"/>
      <c r="Y85" s="57">
        <f>IF(Y$77+Y$78&gt;0,Y$74/((Y$77+Y$78)/2),0)</f>
        <v>0.03439579447716601</v>
      </c>
      <c r="Z85" s="57">
        <f>IF(Y$77+Y$78&gt;0,Z$74/((Y$77+Y$78)/2),0)</f>
        <v>0.031123416808157854</v>
      </c>
      <c r="AA85" s="61"/>
      <c r="AB85" s="74"/>
      <c r="AC85" s="57">
        <f>IF(AC$77+AC$78&gt;0,AC$74/((AC$77+AC$78)/2),0)</f>
        <v>0.0289070375393511</v>
      </c>
      <c r="AD85" s="57">
        <f>IF(AC$77+AC$78&gt;0,AD$74/((AC$77+AC$78)/2),0)</f>
        <v>0.02631501775699219</v>
      </c>
      <c r="AE85" s="75"/>
      <c r="AF85" s="59"/>
      <c r="AG85" s="57">
        <f>IF(AG$77+AG$78&gt;0,AG$74/((AG$77+AG$78)/2),0)</f>
        <v>0.03442469425132518</v>
      </c>
      <c r="AH85" s="57">
        <f>IF(AG$77+AG$78&gt;0,AH$74/((AG$77+AG$78)/2),0)</f>
        <v>0.03288384087690242</v>
      </c>
      <c r="AI85" s="61"/>
      <c r="AJ85" s="74"/>
      <c r="AK85" s="57">
        <f>IF(AK$77+AK$78&gt;0,AK$74/((AK$77+AK$78)/2),0)</f>
        <v>0.03376144833995718</v>
      </c>
      <c r="AL85" s="57">
        <f>IF(AK$77+AK$78&gt;0,AL$74/((AK$77+AK$78)/2),0)</f>
        <v>0.0318292064035887</v>
      </c>
      <c r="AM85" s="75"/>
      <c r="AN85" s="59"/>
      <c r="AO85" s="57">
        <f>IF(AO$77+AO$78&gt;0,AO$74/((AO$77+AO$78)/2),0)</f>
        <v>0.03523886342542674</v>
      </c>
      <c r="AP85" s="57">
        <f>IF(AO$77+AO$78&gt;0,AP$74/((AO$77+AO$78)/2),0)</f>
        <v>0.0323973596506982</v>
      </c>
      <c r="AQ85" s="61"/>
      <c r="AR85" s="74"/>
      <c r="AS85" s="57">
        <f>IF(AS$77+AS$78&gt;0,AS$74/((AS$77+AS$78)/2),0)</f>
        <v>0.012027663723805676</v>
      </c>
      <c r="AT85" s="57">
        <f>IF(AS$77+AS$78&gt;0,AT$74/((AS$77+AS$78)/2),0)</f>
        <v>0.009421984612525953</v>
      </c>
      <c r="AU85" s="75"/>
      <c r="AV85" s="59"/>
      <c r="AW85" s="57">
        <f>IF(AW$77+AW$78&gt;0,AW$74/((AW$77+AW$78)/2),0)</f>
        <v>0.04370663236832175</v>
      </c>
      <c r="AX85" s="57">
        <f>IF(AW$77+AW$78&gt;0,AX$74/((AW$77+AW$78)/2),0)</f>
        <v>0.04291599038043353</v>
      </c>
      <c r="AY85" s="61"/>
      <c r="AZ85" s="34"/>
      <c r="BA85" s="57">
        <f>IF(BA$77+BA$78&gt;0,BA$74/((BA$77+BA$78)/2),0)</f>
        <v>0.03570568683938841</v>
      </c>
      <c r="BB85" s="57">
        <f>IF(BA$77+BA$78&gt;0,BB$74/((BA$77+BA$78)/2),0)</f>
        <v>0.03320912442383951</v>
      </c>
      <c r="BC85" s="13"/>
    </row>
    <row r="86" spans="1:55" ht="12.75">
      <c r="A86" s="25"/>
      <c r="B86" s="25" t="s">
        <v>25</v>
      </c>
      <c r="C86" s="25" t="s">
        <v>108</v>
      </c>
      <c r="D86" s="73"/>
      <c r="E86" s="57">
        <f>IF(F$77+F$78&gt;0,(E$74+(F$78-E$78)-(F$77-E$77))/((F$77+F$78)/2),0)</f>
        <v>0.023405779232015825</v>
      </c>
      <c r="F86" s="57">
        <f>IF(F$77+F$78&gt;0,(F$74+(F$78-E$78)-(F$77-E$77))/((F$77+F$78)/2),0)</f>
        <v>0.019697180996212305</v>
      </c>
      <c r="G86" s="75"/>
      <c r="H86" s="26"/>
      <c r="I86" s="57">
        <f>IF(J$77+J$78&gt;0,(I$74+(J$78-I$78)-(J$77-I$77))/((J$77+J$78)/2),0)</f>
        <v>0.01913311342227416</v>
      </c>
      <c r="J86" s="57">
        <f>IF(J$77+J$78&gt;0,(J$74+(J$78-I$78)-(J$77-I$77))/((J$77+J$78)/2),0)</f>
        <v>0.01595693433557632</v>
      </c>
      <c r="K86" s="61"/>
      <c r="L86" s="73"/>
      <c r="M86" s="57">
        <f>IF(N$77+N$78&gt;0,(M$74+(N$78-M$78)-(N$77-M$77))/((N$77+N$78)/2),0)</f>
        <v>0.04939343496545517</v>
      </c>
      <c r="N86" s="57">
        <f>IF(N$77+N$78&gt;0,(N$74+(N$78-M$78)-(N$77-M$77))/((N$77+N$78)/2),0)</f>
        <v>0.04452088257041854</v>
      </c>
      <c r="O86" s="75"/>
      <c r="P86" s="26"/>
      <c r="Q86" s="57">
        <f>IF(R$77+R$78&gt;0,(Q$74+(R$78-Q$78)-(R$77-Q$77))/((R$77+R$78)/2),0)</f>
        <v>0.014881787268819596</v>
      </c>
      <c r="R86" s="57">
        <f>IF(R$77+R$78&gt;0,(R$74+(R$78-Q$78)-(R$77-Q$77))/((R$77+R$78)/2),0)</f>
        <v>0.011698150880307307</v>
      </c>
      <c r="S86" s="61"/>
      <c r="T86" s="73"/>
      <c r="U86" s="57">
        <f>IF(V$77+V$78&gt;0,(U$74+(V$78-U$78)-(V$77-U$77))/((V$77+V$78)/2),0)</f>
        <v>-0.013664754483655813</v>
      </c>
      <c r="V86" s="57">
        <f>IF(V$77+V$78&gt;0,(V$74+(V$78-U$78)-(V$77-U$77))/((V$77+V$78)/2),0)</f>
        <v>-0.01516622294033395</v>
      </c>
      <c r="W86" s="75"/>
      <c r="X86" s="26"/>
      <c r="Y86" s="57">
        <f>IF(Z$77+Z$78&gt;0,(Y$74+(Z$78-Y$78)-(Z$77-Y$77))/((Z$77+Z$78)/2),0)</f>
        <v>0.013293873560742964</v>
      </c>
      <c r="Z86" s="57">
        <f>IF(Z$77+Z$78&gt;0,(Z$74+(Z$78-Y$78)-(Z$77-Y$77))/((Z$77+Z$78)/2),0)</f>
        <v>0.010010515135104007</v>
      </c>
      <c r="AA86" s="61"/>
      <c r="AB86" s="73"/>
      <c r="AC86" s="57">
        <f>IF(AD$77+AD$78&gt;0,(AC$74+(AD$78-AC$78)-(AD$77-AC$77))/((AD$77+AD$78)/2),0)</f>
        <v>0.029854611678477437</v>
      </c>
      <c r="AD86" s="57">
        <f>IF(AD$77+AD$78&gt;0,(AD$74+(AD$78-AC$78)-(AD$77-AC$77))/((AD$77+AD$78)/2),0)</f>
        <v>0.02738341993893825</v>
      </c>
      <c r="AE86" s="75"/>
      <c r="AF86" s="26"/>
      <c r="AG86" s="57">
        <f>IF(AH$77+AH$78&gt;0,(AG$74+(AH$78-AG$78)-(AH$77-AG$77))/((AH$77+AH$78)/2),0)</f>
        <v>0.012991091952714974</v>
      </c>
      <c r="AH86" s="57">
        <f>IF(AH$77+AH$78&gt;0,(AH$74+(AH$78-AG$78)-(AH$77-AG$77))/((AH$77+AH$78)/2),0)</f>
        <v>0.011470760939327867</v>
      </c>
      <c r="AI86" s="61"/>
      <c r="AJ86" s="73"/>
      <c r="AK86" s="57">
        <f>IF(AL$77+AL$78&gt;0,(AK$74+(AL$78-AK$78)-(AL$77-AK$77))/((AL$77+AL$78)/2),0)</f>
        <v>0.0069176698959391965</v>
      </c>
      <c r="AL86" s="57">
        <f>IF(AL$77+AL$78&gt;0,(AL$74+(AL$78-AK$78)-(AL$77-AK$77))/((AL$77+AL$78)/2),0)</f>
        <v>0.004997793137491794</v>
      </c>
      <c r="AM86" s="75"/>
      <c r="AN86" s="26"/>
      <c r="AO86" s="57">
        <f>IF(AP$77+AP$78&gt;0,(AO$74+(AP$78-AO$78)-(AP$77-AO$77))/((AP$77+AP$78)/2),0)</f>
        <v>0.020345954938287104</v>
      </c>
      <c r="AP86" s="57">
        <f>IF(AP$77+AP$78&gt;0,(AP$74+(AP$78-AO$78)-(AP$77-AO$77))/((AP$77+AP$78)/2),0)</f>
        <v>0.017557694483631994</v>
      </c>
      <c r="AQ86" s="61"/>
      <c r="AR86" s="73"/>
      <c r="AS86" s="57">
        <f>IF(AT$77+AT$78&gt;0,(AS$74+(AT$78-AS$78)-(AT$77-AS$77))/((AT$77+AT$78)/2),0)</f>
        <v>0.009969617891543728</v>
      </c>
      <c r="AT86" s="57">
        <f>IF(AT$77+AT$78&gt;0,(AT$74+(AT$78-AS$78)-(AT$77-AS$77))/((AT$77+AT$78)/2),0)</f>
        <v>0.0073491200919073695</v>
      </c>
      <c r="AU86" s="75"/>
      <c r="AV86" s="26"/>
      <c r="AW86" s="57">
        <f>IF(AX$77+AX$78&gt;0,(AW$74+(AX$78-AW$78)-(AX$77-AW$77))/((AX$77+AX$78)/2),0)</f>
        <v>0.010925339707170328</v>
      </c>
      <c r="AX86" s="57">
        <f>IF(AX$77+AX$78&gt;0,(AX$74+(AX$78-AW$78)-(AX$77-AW$77))/((AX$77+AX$78)/2),0)</f>
        <v>0.010159877673999538</v>
      </c>
      <c r="AY86" s="61"/>
      <c r="AZ86" s="34"/>
      <c r="BA86" s="57">
        <f>IF(BB$77+BB$78&gt;0,(BA$74+(BB$78-BA$78)-(BB$77-BA$77))/((BB$77+BB$78)/2),0)</f>
        <v>0.0142357398227827</v>
      </c>
      <c r="BB86" s="57">
        <f>IF(BB$77+BB$78&gt;0,(BB$74+(BB$78-BA$78)-(BB$77-BA$77))/((BB$77+BB$78)/2),0)</f>
        <v>0.011787213945391208</v>
      </c>
      <c r="BC86" s="13"/>
    </row>
    <row r="87" spans="1:55" ht="12.75">
      <c r="A87" s="25"/>
      <c r="B87" s="25"/>
      <c r="C87" s="25"/>
      <c r="D87" s="73"/>
      <c r="E87" s="59"/>
      <c r="F87" s="26"/>
      <c r="G87" s="76"/>
      <c r="H87" s="26"/>
      <c r="I87" s="59"/>
      <c r="J87" s="26"/>
      <c r="K87" s="59"/>
      <c r="L87" s="73"/>
      <c r="M87" s="59"/>
      <c r="N87" s="26"/>
      <c r="O87" s="76"/>
      <c r="P87" s="26"/>
      <c r="Q87" s="59"/>
      <c r="R87" s="26"/>
      <c r="S87" s="59"/>
      <c r="T87" s="73"/>
      <c r="U87" s="59"/>
      <c r="V87" s="26"/>
      <c r="W87" s="76"/>
      <c r="X87" s="26"/>
      <c r="Y87" s="59"/>
      <c r="Z87" s="26"/>
      <c r="AA87" s="59"/>
      <c r="AB87" s="73"/>
      <c r="AC87" s="59"/>
      <c r="AD87" s="26"/>
      <c r="AE87" s="76"/>
      <c r="AF87" s="26"/>
      <c r="AG87" s="59"/>
      <c r="AH87" s="26"/>
      <c r="AI87" s="59"/>
      <c r="AJ87" s="73"/>
      <c r="AK87" s="59"/>
      <c r="AL87" s="26"/>
      <c r="AM87" s="76"/>
      <c r="AN87" s="26"/>
      <c r="AO87" s="59"/>
      <c r="AP87" s="26"/>
      <c r="AQ87" s="59"/>
      <c r="AR87" s="73"/>
      <c r="AS87" s="59"/>
      <c r="AT87" s="26"/>
      <c r="AU87" s="76"/>
      <c r="AV87" s="26"/>
      <c r="AW87" s="59"/>
      <c r="AX87" s="26"/>
      <c r="AY87" s="59"/>
      <c r="AZ87" s="34"/>
      <c r="BA87" s="6"/>
      <c r="BB87" s="6"/>
      <c r="BC87" s="13"/>
    </row>
    <row r="88" spans="1:55" ht="12.75">
      <c r="A88" s="25"/>
      <c r="B88" s="25" t="s">
        <v>26</v>
      </c>
      <c r="C88" s="25" t="s">
        <v>109</v>
      </c>
      <c r="D88" s="73"/>
      <c r="E88" s="59"/>
      <c r="F88" s="26"/>
      <c r="G88" s="77"/>
      <c r="H88" s="26"/>
      <c r="I88" s="59"/>
      <c r="J88" s="26"/>
      <c r="K88" s="62"/>
      <c r="L88" s="73"/>
      <c r="M88" s="59"/>
      <c r="N88" s="26"/>
      <c r="O88" s="77"/>
      <c r="P88" s="26"/>
      <c r="Q88" s="59"/>
      <c r="R88" s="26"/>
      <c r="S88" s="62"/>
      <c r="T88" s="73"/>
      <c r="U88" s="59"/>
      <c r="V88" s="26"/>
      <c r="W88" s="77"/>
      <c r="X88" s="26"/>
      <c r="Y88" s="59"/>
      <c r="Z88" s="26"/>
      <c r="AA88" s="62"/>
      <c r="AB88" s="73"/>
      <c r="AC88" s="59"/>
      <c r="AD88" s="26"/>
      <c r="AE88" s="77"/>
      <c r="AF88" s="26"/>
      <c r="AG88" s="59"/>
      <c r="AH88" s="26"/>
      <c r="AI88" s="62"/>
      <c r="AJ88" s="73"/>
      <c r="AK88" s="59"/>
      <c r="AL88" s="26"/>
      <c r="AM88" s="77"/>
      <c r="AN88" s="26"/>
      <c r="AO88" s="59"/>
      <c r="AP88" s="26"/>
      <c r="AQ88" s="62"/>
      <c r="AR88" s="73"/>
      <c r="AS88" s="59"/>
      <c r="AT88" s="26"/>
      <c r="AU88" s="77"/>
      <c r="AV88" s="26"/>
      <c r="AW88" s="59"/>
      <c r="AX88" s="26"/>
      <c r="AY88" s="62"/>
      <c r="AZ88" s="34"/>
      <c r="BA88" s="6"/>
      <c r="BB88" s="6"/>
      <c r="BC88" s="13"/>
    </row>
    <row r="89" spans="1:55" ht="12.75">
      <c r="A89" s="25"/>
      <c r="B89" s="25"/>
      <c r="C89" s="25" t="s">
        <v>110</v>
      </c>
      <c r="D89" s="73"/>
      <c r="E89" s="68"/>
      <c r="F89" s="67">
        <f>'Allianz Suisse'!F91</f>
        <v>0.0584</v>
      </c>
      <c r="G89" s="76"/>
      <c r="H89" s="26"/>
      <c r="I89" s="68"/>
      <c r="J89" s="67">
        <f>Basler!F91</f>
        <v>0.05835</v>
      </c>
      <c r="K89" s="59"/>
      <c r="L89" s="73"/>
      <c r="M89" s="68"/>
      <c r="N89" s="67">
        <f>Generali!F91</f>
        <v>0.071</v>
      </c>
      <c r="O89" s="76"/>
      <c r="P89" s="26"/>
      <c r="Q89" s="68"/>
      <c r="R89" s="67">
        <f>Helvetia!F91</f>
        <v>0.05835</v>
      </c>
      <c r="S89" s="59"/>
      <c r="T89" s="73"/>
      <c r="U89" s="68"/>
      <c r="V89" s="67">
        <f>Mobiliar!F91</f>
        <v>0</v>
      </c>
      <c r="W89" s="76"/>
      <c r="X89" s="26"/>
      <c r="Y89" s="68"/>
      <c r="Z89" s="67">
        <f>Nationale!F91</f>
        <v>0.05835</v>
      </c>
      <c r="AA89" s="59"/>
      <c r="AB89" s="73"/>
      <c r="AC89" s="68"/>
      <c r="AD89" s="67">
        <f>Pax!F91</f>
        <v>0.0618</v>
      </c>
      <c r="AE89" s="76"/>
      <c r="AF89" s="26"/>
      <c r="AG89" s="68"/>
      <c r="AH89" s="67">
        <f>Phenix!F91</f>
        <v>0.05835</v>
      </c>
      <c r="AI89" s="59"/>
      <c r="AJ89" s="73"/>
      <c r="AK89" s="68"/>
      <c r="AL89" s="67">
        <f>Rentenanstalt!F91</f>
        <v>0.05835</v>
      </c>
      <c r="AM89" s="76"/>
      <c r="AN89" s="26"/>
      <c r="AO89" s="68"/>
      <c r="AP89" s="67">
        <f>Winterthur!F91</f>
        <v>0.05835</v>
      </c>
      <c r="AQ89" s="59"/>
      <c r="AR89" s="73"/>
      <c r="AS89" s="68"/>
      <c r="AT89" s="67">
        <f>Zenith!F91</f>
        <v>0</v>
      </c>
      <c r="AU89" s="76"/>
      <c r="AV89" s="26"/>
      <c r="AW89" s="68"/>
      <c r="AX89" s="67">
        <f>Zuerich!F91</f>
        <v>0.05835</v>
      </c>
      <c r="AY89" s="59"/>
      <c r="AZ89" s="34"/>
      <c r="BA89" s="6"/>
      <c r="BB89" s="67" t="s">
        <v>140</v>
      </c>
      <c r="BC89" s="13"/>
    </row>
    <row r="90" spans="1:55" ht="12.75">
      <c r="A90" s="25"/>
      <c r="B90" s="25"/>
      <c r="C90" s="25" t="s">
        <v>111</v>
      </c>
      <c r="D90" s="73"/>
      <c r="E90" s="68"/>
      <c r="F90" s="67">
        <f>'Allianz Suisse'!F92</f>
        <v>0.0557</v>
      </c>
      <c r="G90" s="78"/>
      <c r="H90" s="26"/>
      <c r="I90" s="68"/>
      <c r="J90" s="67">
        <f>Basler!F92</f>
        <v>0.05574</v>
      </c>
      <c r="K90" s="60"/>
      <c r="L90" s="73"/>
      <c r="M90" s="68"/>
      <c r="N90" s="67">
        <f>Generali!F92</f>
        <v>0.0715</v>
      </c>
      <c r="O90" s="78"/>
      <c r="P90" s="26"/>
      <c r="Q90" s="68"/>
      <c r="R90" s="67">
        <f>Helvetia!F92</f>
        <v>0.05574</v>
      </c>
      <c r="S90" s="60"/>
      <c r="T90" s="73"/>
      <c r="U90" s="68"/>
      <c r="V90" s="67">
        <f>Mobiliar!F92</f>
        <v>0</v>
      </c>
      <c r="W90" s="78"/>
      <c r="X90" s="26"/>
      <c r="Y90" s="68"/>
      <c r="Z90" s="67">
        <f>Nationale!F92</f>
        <v>0.05835</v>
      </c>
      <c r="AA90" s="60"/>
      <c r="AB90" s="73"/>
      <c r="AC90" s="68"/>
      <c r="AD90" s="67">
        <f>Pax!F92</f>
        <v>0.0599</v>
      </c>
      <c r="AE90" s="78"/>
      <c r="AF90" s="26"/>
      <c r="AG90" s="68"/>
      <c r="AH90" s="67">
        <f>Phenix!F92</f>
        <v>0.05574</v>
      </c>
      <c r="AI90" s="60"/>
      <c r="AJ90" s="73"/>
      <c r="AK90" s="68"/>
      <c r="AL90" s="67">
        <f>Rentenanstalt!F92</f>
        <v>0.0572</v>
      </c>
      <c r="AM90" s="78"/>
      <c r="AN90" s="26"/>
      <c r="AO90" s="68"/>
      <c r="AP90" s="67">
        <f>Winterthur!F92</f>
        <v>0.05574</v>
      </c>
      <c r="AQ90" s="60"/>
      <c r="AR90" s="73"/>
      <c r="AS90" s="68"/>
      <c r="AT90" s="67">
        <f>Zenith!F92</f>
        <v>0</v>
      </c>
      <c r="AU90" s="78"/>
      <c r="AV90" s="26"/>
      <c r="AW90" s="68"/>
      <c r="AX90" s="67">
        <f>Zuerich!F92</f>
        <v>0.05574</v>
      </c>
      <c r="AY90" s="60"/>
      <c r="AZ90" s="34"/>
      <c r="BA90" s="6"/>
      <c r="BB90" s="67" t="s">
        <v>140</v>
      </c>
      <c r="BC90" s="13"/>
    </row>
    <row r="91" spans="1:55" ht="12.75">
      <c r="A91" s="25"/>
      <c r="B91" s="25"/>
      <c r="C91" s="25"/>
      <c r="D91" s="73"/>
      <c r="E91" s="63"/>
      <c r="F91" s="26"/>
      <c r="G91" s="36"/>
      <c r="H91" s="26"/>
      <c r="I91" s="63"/>
      <c r="J91" s="26"/>
      <c r="K91" s="26"/>
      <c r="L91" s="73"/>
      <c r="M91" s="63"/>
      <c r="N91" s="26"/>
      <c r="O91" s="36"/>
      <c r="P91" s="26"/>
      <c r="Q91" s="63"/>
      <c r="R91" s="26"/>
      <c r="S91" s="26"/>
      <c r="T91" s="73"/>
      <c r="U91" s="63"/>
      <c r="V91" s="26"/>
      <c r="W91" s="36"/>
      <c r="X91" s="26"/>
      <c r="Y91" s="63"/>
      <c r="Z91" s="26"/>
      <c r="AA91" s="26"/>
      <c r="AB91" s="73"/>
      <c r="AC91" s="63"/>
      <c r="AD91" s="26"/>
      <c r="AE91" s="36"/>
      <c r="AF91" s="26"/>
      <c r="AG91" s="63"/>
      <c r="AH91" s="26"/>
      <c r="AI91" s="26"/>
      <c r="AJ91" s="73"/>
      <c r="AK91" s="63"/>
      <c r="AL91" s="26"/>
      <c r="AM91" s="36"/>
      <c r="AN91" s="26"/>
      <c r="AO91" s="63"/>
      <c r="AP91" s="26"/>
      <c r="AQ91" s="26"/>
      <c r="AR91" s="73"/>
      <c r="AS91" s="63"/>
      <c r="AT91" s="26"/>
      <c r="AU91" s="36"/>
      <c r="AV91" s="26"/>
      <c r="AW91" s="63"/>
      <c r="AX91" s="26"/>
      <c r="AY91" s="26"/>
      <c r="AZ91" s="34"/>
      <c r="BA91" s="6"/>
      <c r="BB91" s="6"/>
      <c r="BC91" s="13"/>
    </row>
    <row r="92" spans="1:55" ht="12.75">
      <c r="A92" s="25"/>
      <c r="B92" s="25" t="s">
        <v>35</v>
      </c>
      <c r="C92" s="25" t="s">
        <v>37</v>
      </c>
      <c r="D92" s="73"/>
      <c r="E92" s="64"/>
      <c r="F92" s="26"/>
      <c r="G92" s="79"/>
      <c r="H92" s="26"/>
      <c r="I92" s="64"/>
      <c r="J92" s="26"/>
      <c r="K92" s="65"/>
      <c r="L92" s="73"/>
      <c r="M92" s="64"/>
      <c r="N92" s="26"/>
      <c r="O92" s="79"/>
      <c r="P92" s="26"/>
      <c r="Q92" s="64"/>
      <c r="R92" s="26"/>
      <c r="S92" s="65"/>
      <c r="T92" s="73"/>
      <c r="U92" s="64"/>
      <c r="V92" s="26"/>
      <c r="W92" s="79"/>
      <c r="X92" s="26"/>
      <c r="Y92" s="64"/>
      <c r="Z92" s="26"/>
      <c r="AA92" s="65"/>
      <c r="AB92" s="73"/>
      <c r="AC92" s="64"/>
      <c r="AD92" s="26"/>
      <c r="AE92" s="79"/>
      <c r="AF92" s="26"/>
      <c r="AG92" s="64"/>
      <c r="AH92" s="26"/>
      <c r="AI92" s="65"/>
      <c r="AJ92" s="73"/>
      <c r="AK92" s="64"/>
      <c r="AL92" s="26"/>
      <c r="AM92" s="79"/>
      <c r="AN92" s="26"/>
      <c r="AO92" s="64"/>
      <c r="AP92" s="26"/>
      <c r="AQ92" s="65"/>
      <c r="AR92" s="73"/>
      <c r="AS92" s="64"/>
      <c r="AT92" s="26"/>
      <c r="AU92" s="79"/>
      <c r="AV92" s="26"/>
      <c r="AW92" s="64"/>
      <c r="AX92" s="26"/>
      <c r="AY92" s="65"/>
      <c r="AZ92" s="34"/>
      <c r="BA92" s="6"/>
      <c r="BB92" s="6"/>
      <c r="BC92" s="13"/>
    </row>
    <row r="93" spans="1:55" ht="12.75">
      <c r="A93" s="25"/>
      <c r="B93" s="25"/>
      <c r="C93" s="25" t="s">
        <v>112</v>
      </c>
      <c r="D93" s="73"/>
      <c r="E93" s="26"/>
      <c r="F93" s="8">
        <f>'Allianz Suisse'!F95</f>
        <v>70821</v>
      </c>
      <c r="G93" s="36"/>
      <c r="H93" s="26"/>
      <c r="I93" s="26"/>
      <c r="J93" s="8">
        <f>Basler!F95</f>
        <v>133962.34886915117</v>
      </c>
      <c r="K93" s="26"/>
      <c r="L93" s="73"/>
      <c r="M93" s="26"/>
      <c r="N93" s="8">
        <f>Generali!F95</f>
        <v>541</v>
      </c>
      <c r="O93" s="36"/>
      <c r="P93" s="26"/>
      <c r="Q93" s="26"/>
      <c r="R93" s="8">
        <f>Helvetia!F95</f>
        <v>137760.21</v>
      </c>
      <c r="S93" s="26"/>
      <c r="T93" s="73"/>
      <c r="U93" s="26"/>
      <c r="V93" s="8">
        <f>Mobiliar!F95</f>
        <v>134875</v>
      </c>
      <c r="W93" s="36"/>
      <c r="X93" s="26"/>
      <c r="Y93" s="26"/>
      <c r="Z93" s="8">
        <f>Nationale!F95</f>
        <v>18817</v>
      </c>
      <c r="AA93" s="26"/>
      <c r="AB93" s="73"/>
      <c r="AC93" s="26"/>
      <c r="AD93" s="8">
        <f>Pax!F95</f>
        <v>35944</v>
      </c>
      <c r="AE93" s="36"/>
      <c r="AF93" s="26"/>
      <c r="AG93" s="26"/>
      <c r="AH93" s="8">
        <f>Phenix!F95</f>
        <v>1789</v>
      </c>
      <c r="AI93" s="26"/>
      <c r="AJ93" s="73"/>
      <c r="AK93" s="26"/>
      <c r="AL93" s="8">
        <f>Rentenanstalt!F95</f>
        <v>465293</v>
      </c>
      <c r="AM93" s="36"/>
      <c r="AN93" s="26"/>
      <c r="AO93" s="26"/>
      <c r="AP93" s="8">
        <f>Winterthur!F95</f>
        <v>415823</v>
      </c>
      <c r="AQ93" s="26"/>
      <c r="AR93" s="73"/>
      <c r="AS93" s="26"/>
      <c r="AT93" s="8">
        <f>Zenith!F95</f>
        <v>0</v>
      </c>
      <c r="AU93" s="36"/>
      <c r="AV93" s="26"/>
      <c r="AW93" s="26"/>
      <c r="AX93" s="8">
        <f>Zuerich!F95</f>
        <v>170734</v>
      </c>
      <c r="AY93" s="26"/>
      <c r="AZ93" s="34"/>
      <c r="BA93" s="6"/>
      <c r="BB93" s="8">
        <f>F93+J93+N93+R93+V93+Z93+AD93+AH93+AL93+AP93+AT93+AX93</f>
        <v>1586359.5588691512</v>
      </c>
      <c r="BC93" s="13"/>
    </row>
    <row r="94" spans="1:55" ht="12.75">
      <c r="A94" s="25"/>
      <c r="B94" s="25"/>
      <c r="C94" s="25" t="s">
        <v>113</v>
      </c>
      <c r="D94" s="73"/>
      <c r="E94" s="26"/>
      <c r="F94" s="8">
        <f>'Allianz Suisse'!F96</f>
        <v>5650</v>
      </c>
      <c r="G94" s="36"/>
      <c r="H94" s="26"/>
      <c r="I94" s="26"/>
      <c r="J94" s="8">
        <f>Basler!F96</f>
        <v>16055.651130848823</v>
      </c>
      <c r="K94" s="26"/>
      <c r="L94" s="73"/>
      <c r="M94" s="26"/>
      <c r="N94" s="8">
        <f>Generali!F96</f>
        <v>1577</v>
      </c>
      <c r="O94" s="36"/>
      <c r="P94" s="26"/>
      <c r="Q94" s="26"/>
      <c r="R94" s="8">
        <f>Helvetia!F96</f>
        <v>17542.11</v>
      </c>
      <c r="S94" s="26"/>
      <c r="T94" s="73"/>
      <c r="U94" s="26"/>
      <c r="V94" s="8">
        <f>Mobiliar!F96</f>
        <v>7469</v>
      </c>
      <c r="W94" s="36"/>
      <c r="X94" s="26"/>
      <c r="Y94" s="26"/>
      <c r="Z94" s="8">
        <f>Nationale!F96</f>
        <v>2156</v>
      </c>
      <c r="AA94" s="26"/>
      <c r="AB94" s="73"/>
      <c r="AC94" s="26"/>
      <c r="AD94" s="8">
        <f>Pax!F96</f>
        <v>3228</v>
      </c>
      <c r="AE94" s="36"/>
      <c r="AF94" s="26"/>
      <c r="AG94" s="26"/>
      <c r="AH94" s="8">
        <f>Phenix!F96</f>
        <v>153</v>
      </c>
      <c r="AI94" s="26"/>
      <c r="AJ94" s="73"/>
      <c r="AK94" s="26"/>
      <c r="AL94" s="8">
        <f>Rentenanstalt!F96</f>
        <v>64809</v>
      </c>
      <c r="AM94" s="36"/>
      <c r="AN94" s="26"/>
      <c r="AO94" s="26"/>
      <c r="AP94" s="8">
        <f>Winterthur!F96</f>
        <v>63378</v>
      </c>
      <c r="AQ94" s="26"/>
      <c r="AR94" s="73"/>
      <c r="AS94" s="26"/>
      <c r="AT94" s="8">
        <f>Zenith!F96</f>
        <v>24</v>
      </c>
      <c r="AU94" s="36"/>
      <c r="AV94" s="26"/>
      <c r="AW94" s="26"/>
      <c r="AX94" s="8">
        <f>Zuerich!F96</f>
        <v>18135</v>
      </c>
      <c r="AY94" s="26"/>
      <c r="AZ94" s="34"/>
      <c r="BA94" s="6"/>
      <c r="BB94" s="8">
        <f>F94+J94+N94+R94+V94+Z94+AD94+AH94+AL94+AP94+AT94+AX94</f>
        <v>200176.76113084884</v>
      </c>
      <c r="BC94" s="13"/>
    </row>
    <row r="95" spans="1:55" ht="13.5" thickBot="1">
      <c r="A95" s="25"/>
      <c r="B95" s="25"/>
      <c r="C95" s="25" t="s">
        <v>114</v>
      </c>
      <c r="D95" s="73"/>
      <c r="E95" s="61"/>
      <c r="F95" s="8">
        <f>'Allianz Suisse'!F97</f>
        <v>39965</v>
      </c>
      <c r="G95" s="36"/>
      <c r="H95" s="26"/>
      <c r="I95" s="61"/>
      <c r="J95" s="8">
        <f>Basler!F97</f>
        <v>29270</v>
      </c>
      <c r="K95" s="26"/>
      <c r="L95" s="73"/>
      <c r="M95" s="61"/>
      <c r="N95" s="8">
        <f>Generali!F97</f>
        <v>5085</v>
      </c>
      <c r="O95" s="36"/>
      <c r="P95" s="26"/>
      <c r="Q95" s="61"/>
      <c r="R95" s="8">
        <f>Helvetia!F97</f>
        <v>12025</v>
      </c>
      <c r="S95" s="26"/>
      <c r="T95" s="73"/>
      <c r="U95" s="61"/>
      <c r="V95" s="8">
        <f>Mobiliar!F97</f>
        <v>697</v>
      </c>
      <c r="W95" s="36"/>
      <c r="X95" s="26"/>
      <c r="Y95" s="61"/>
      <c r="Z95" s="8">
        <f>Nationale!F97</f>
        <v>2589</v>
      </c>
      <c r="AA95" s="26"/>
      <c r="AB95" s="73"/>
      <c r="AC95" s="61"/>
      <c r="AD95" s="8">
        <f>Pax!F97</f>
        <v>1324</v>
      </c>
      <c r="AE95" s="36"/>
      <c r="AF95" s="26"/>
      <c r="AG95" s="61"/>
      <c r="AH95" s="8">
        <f>Phenix!F97</f>
        <v>574</v>
      </c>
      <c r="AI95" s="26"/>
      <c r="AJ95" s="73"/>
      <c r="AK95" s="61"/>
      <c r="AL95" s="8">
        <f>Rentenanstalt!F97</f>
        <v>85216</v>
      </c>
      <c r="AM95" s="36"/>
      <c r="AN95" s="26"/>
      <c r="AO95" s="61"/>
      <c r="AP95" s="8">
        <f>Winterthur!F97</f>
        <v>117608</v>
      </c>
      <c r="AQ95" s="26"/>
      <c r="AR95" s="73"/>
      <c r="AS95" s="61"/>
      <c r="AT95" s="8">
        <f>Zenith!F97</f>
        <v>731</v>
      </c>
      <c r="AU95" s="36"/>
      <c r="AV95" s="26"/>
      <c r="AW95" s="61"/>
      <c r="AX95" s="8">
        <f>Zuerich!F97</f>
        <v>20247</v>
      </c>
      <c r="AY95" s="26"/>
      <c r="AZ95" s="34"/>
      <c r="BA95" s="6"/>
      <c r="BB95" s="8">
        <f>F95+J95+N95+R95+V95+Z95+AD95+AH95+AL95+AP95+AT95+AX95</f>
        <v>315331</v>
      </c>
      <c r="BC95" s="13"/>
    </row>
    <row r="96" spans="1:55" ht="13.5" thickBot="1">
      <c r="A96" s="25"/>
      <c r="B96" s="25"/>
      <c r="C96" s="25" t="s">
        <v>115</v>
      </c>
      <c r="D96" s="73"/>
      <c r="E96" s="61"/>
      <c r="F96" s="70">
        <f>SUM(F$93:F$95)</f>
        <v>116436</v>
      </c>
      <c r="G96" s="36"/>
      <c r="H96" s="26"/>
      <c r="I96" s="61"/>
      <c r="J96" s="70">
        <f>SUM(J$93:J$95)</f>
        <v>179288</v>
      </c>
      <c r="K96" s="26"/>
      <c r="L96" s="73"/>
      <c r="M96" s="61"/>
      <c r="N96" s="70">
        <f>SUM(N$93:N$95)</f>
        <v>7203</v>
      </c>
      <c r="O96" s="36"/>
      <c r="P96" s="26"/>
      <c r="Q96" s="61"/>
      <c r="R96" s="70">
        <f>SUM(R$93:R$95)</f>
        <v>167327.32</v>
      </c>
      <c r="S96" s="26"/>
      <c r="T96" s="73"/>
      <c r="U96" s="61"/>
      <c r="V96" s="70">
        <f>SUM(V$93:V$95)</f>
        <v>143041</v>
      </c>
      <c r="W96" s="36"/>
      <c r="X96" s="26"/>
      <c r="Y96" s="61"/>
      <c r="Z96" s="70">
        <f>SUM(Z$93:Z$95)</f>
        <v>23562</v>
      </c>
      <c r="AA96" s="26"/>
      <c r="AB96" s="73"/>
      <c r="AC96" s="61"/>
      <c r="AD96" s="70">
        <f>SUM(AD$93:AD$95)</f>
        <v>40496</v>
      </c>
      <c r="AE96" s="36"/>
      <c r="AF96" s="26"/>
      <c r="AG96" s="61"/>
      <c r="AH96" s="70">
        <f>SUM(AH$93:AH$95)</f>
        <v>2516</v>
      </c>
      <c r="AI96" s="26"/>
      <c r="AJ96" s="73"/>
      <c r="AK96" s="61"/>
      <c r="AL96" s="70">
        <f>SUM(AL$93:AL$95)</f>
        <v>615318</v>
      </c>
      <c r="AM96" s="36"/>
      <c r="AN96" s="26"/>
      <c r="AO96" s="61"/>
      <c r="AP96" s="70">
        <f>SUM(AP$93:AP$95)</f>
        <v>596809</v>
      </c>
      <c r="AQ96" s="26"/>
      <c r="AR96" s="73"/>
      <c r="AS96" s="61"/>
      <c r="AT96" s="70">
        <f>SUM(AT$93:AT$95)</f>
        <v>755</v>
      </c>
      <c r="AU96" s="36"/>
      <c r="AV96" s="26"/>
      <c r="AW96" s="61"/>
      <c r="AX96" s="70">
        <f>SUM(AX$93:AX$95)</f>
        <v>209116</v>
      </c>
      <c r="AY96" s="26"/>
      <c r="AZ96" s="34"/>
      <c r="BA96" s="6"/>
      <c r="BB96" s="70">
        <f>SUM(BB$93:BB$95)</f>
        <v>2101867.3200000003</v>
      </c>
      <c r="BC96" s="13"/>
    </row>
    <row r="97" spans="1:55" ht="12.75">
      <c r="A97" s="25"/>
      <c r="B97" s="25"/>
      <c r="C97" s="25"/>
      <c r="D97" s="73"/>
      <c r="E97" s="66"/>
      <c r="F97" s="26"/>
      <c r="G97" s="36"/>
      <c r="H97" s="26"/>
      <c r="I97" s="66"/>
      <c r="J97" s="26"/>
      <c r="K97" s="26"/>
      <c r="L97" s="73"/>
      <c r="M97" s="66"/>
      <c r="N97" s="26"/>
      <c r="O97" s="36"/>
      <c r="P97" s="26"/>
      <c r="Q97" s="66"/>
      <c r="R97" s="26"/>
      <c r="S97" s="26"/>
      <c r="T97" s="73"/>
      <c r="U97" s="66"/>
      <c r="V97" s="26"/>
      <c r="W97" s="36"/>
      <c r="X97" s="26"/>
      <c r="Y97" s="66"/>
      <c r="Z97" s="26"/>
      <c r="AA97" s="26"/>
      <c r="AB97" s="73"/>
      <c r="AC97" s="66"/>
      <c r="AD97" s="26"/>
      <c r="AE97" s="36"/>
      <c r="AF97" s="26"/>
      <c r="AG97" s="66"/>
      <c r="AH97" s="26"/>
      <c r="AI97" s="26"/>
      <c r="AJ97" s="73"/>
      <c r="AK97" s="66"/>
      <c r="AL97" s="26"/>
      <c r="AM97" s="36"/>
      <c r="AN97" s="26"/>
      <c r="AO97" s="66"/>
      <c r="AP97" s="26"/>
      <c r="AQ97" s="26"/>
      <c r="AR97" s="73"/>
      <c r="AS97" s="66"/>
      <c r="AT97" s="26"/>
      <c r="AU97" s="36"/>
      <c r="AV97" s="26"/>
      <c r="AW97" s="66"/>
      <c r="AX97" s="26"/>
      <c r="AY97" s="26"/>
      <c r="AZ97" s="34"/>
      <c r="BA97" s="6"/>
      <c r="BB97" s="6"/>
      <c r="BC97" s="13"/>
    </row>
    <row r="98" spans="1:55" ht="12.75">
      <c r="A98" s="25"/>
      <c r="B98" s="25" t="s">
        <v>36</v>
      </c>
      <c r="C98" s="25" t="s">
        <v>43</v>
      </c>
      <c r="D98" s="33"/>
      <c r="E98" s="15"/>
      <c r="F98" s="15"/>
      <c r="G98" s="12"/>
      <c r="H98" s="15"/>
      <c r="I98" s="15"/>
      <c r="J98" s="15"/>
      <c r="K98" s="15"/>
      <c r="L98" s="33"/>
      <c r="M98" s="15"/>
      <c r="N98" s="15"/>
      <c r="O98" s="12"/>
      <c r="P98" s="15"/>
      <c r="Q98" s="15"/>
      <c r="R98" s="15"/>
      <c r="S98" s="15"/>
      <c r="T98" s="33"/>
      <c r="U98" s="15"/>
      <c r="V98" s="15"/>
      <c r="W98" s="12"/>
      <c r="X98" s="15"/>
      <c r="Y98" s="15"/>
      <c r="Z98" s="15"/>
      <c r="AA98" s="15"/>
      <c r="AB98" s="33"/>
      <c r="AC98" s="15"/>
      <c r="AD98" s="15"/>
      <c r="AE98" s="12"/>
      <c r="AF98" s="15"/>
      <c r="AG98" s="15"/>
      <c r="AH98" s="15"/>
      <c r="AI98" s="15"/>
      <c r="AJ98" s="33"/>
      <c r="AK98" s="15"/>
      <c r="AL98" s="15"/>
      <c r="AM98" s="12"/>
      <c r="AN98" s="15"/>
      <c r="AO98" s="15"/>
      <c r="AP98" s="15"/>
      <c r="AQ98" s="15"/>
      <c r="AR98" s="33"/>
      <c r="AS98" s="15"/>
      <c r="AT98" s="15"/>
      <c r="AU98" s="12"/>
      <c r="AV98" s="15"/>
      <c r="AW98" s="15"/>
      <c r="AX98" s="15"/>
      <c r="AY98" s="15"/>
      <c r="AZ98" s="34"/>
      <c r="BA98" s="6"/>
      <c r="BB98" s="6"/>
      <c r="BC98" s="13"/>
    </row>
    <row r="99" spans="1:55" ht="12.75">
      <c r="A99" s="25"/>
      <c r="B99" s="25"/>
      <c r="C99" s="25" t="s">
        <v>116</v>
      </c>
      <c r="D99" s="33"/>
      <c r="E99" s="15"/>
      <c r="F99" s="3">
        <f>E$16</f>
        <v>22740.754999999997</v>
      </c>
      <c r="G99" s="12"/>
      <c r="H99" s="15"/>
      <c r="I99" s="15"/>
      <c r="J99" s="3">
        <f>I$16</f>
        <v>40457.395</v>
      </c>
      <c r="K99" s="15"/>
      <c r="L99" s="33"/>
      <c r="M99" s="15"/>
      <c r="N99" s="3">
        <f>M$16</f>
        <v>2108.6945</v>
      </c>
      <c r="O99" s="12"/>
      <c r="P99" s="15"/>
      <c r="Q99" s="15"/>
      <c r="R99" s="3">
        <f>Q$16</f>
        <v>32267.184114</v>
      </c>
      <c r="S99" s="15"/>
      <c r="T99" s="33"/>
      <c r="U99" s="15"/>
      <c r="V99" s="3">
        <f>U$16</f>
        <v>3042.8</v>
      </c>
      <c r="W99" s="12"/>
      <c r="X99" s="15"/>
      <c r="Y99" s="15"/>
      <c r="Z99" s="3">
        <f>Y$16</f>
        <v>4932</v>
      </c>
      <c r="AA99" s="15"/>
      <c r="AB99" s="33"/>
      <c r="AC99" s="15"/>
      <c r="AD99" s="3">
        <f>AC$16</f>
        <v>6573.071</v>
      </c>
      <c r="AE99" s="12"/>
      <c r="AF99" s="15"/>
      <c r="AG99" s="15"/>
      <c r="AH99" s="3">
        <f>AG$16</f>
        <v>167</v>
      </c>
      <c r="AI99" s="15"/>
      <c r="AJ99" s="33"/>
      <c r="AK99" s="15"/>
      <c r="AL99" s="3">
        <f>AK$16</f>
        <v>88286.02312999999</v>
      </c>
      <c r="AM99" s="12"/>
      <c r="AN99" s="15"/>
      <c r="AO99" s="15"/>
      <c r="AP99" s="3">
        <f>AO$16</f>
        <v>109708</v>
      </c>
      <c r="AQ99" s="15"/>
      <c r="AR99" s="33"/>
      <c r="AS99" s="15"/>
      <c r="AT99" s="3">
        <f>AS$16</f>
        <v>276</v>
      </c>
      <c r="AU99" s="12"/>
      <c r="AV99" s="15"/>
      <c r="AW99" s="15"/>
      <c r="AX99" s="3">
        <f>AW$16</f>
        <v>6305.11536</v>
      </c>
      <c r="AY99" s="15"/>
      <c r="AZ99" s="34"/>
      <c r="BA99" s="6"/>
      <c r="BB99" s="3">
        <f>BA$16</f>
        <v>316864.038104</v>
      </c>
      <c r="BC99" s="13"/>
    </row>
    <row r="100" spans="1:55" ht="12.75">
      <c r="A100" s="25"/>
      <c r="B100" s="25"/>
      <c r="C100" s="25" t="s">
        <v>117</v>
      </c>
      <c r="D100" s="33"/>
      <c r="E100" s="15"/>
      <c r="F100" s="57">
        <f>IF(F$99&gt;0,F$99/((F$77+F$78)/2),0)</f>
        <v>0.0037085982358035187</v>
      </c>
      <c r="G100" s="12"/>
      <c r="H100" s="15"/>
      <c r="I100" s="15"/>
      <c r="J100" s="57">
        <f>IF(J$99&gt;0,J$99/((J$77+J$78)/2),0)</f>
        <v>0.003176179086697841</v>
      </c>
      <c r="K100" s="15"/>
      <c r="L100" s="33"/>
      <c r="M100" s="15"/>
      <c r="N100" s="57">
        <f>IF(N$99&gt;0,N$99/((N$77+N$78)/2),0)</f>
        <v>0.0048725523950366246</v>
      </c>
      <c r="O100" s="12"/>
      <c r="P100" s="15"/>
      <c r="Q100" s="15"/>
      <c r="R100" s="57">
        <f>IF(R$99&gt;0,R$99/((R$77+R$78)/2),0)</f>
        <v>0.0031836363885122897</v>
      </c>
      <c r="S100" s="15"/>
      <c r="T100" s="33"/>
      <c r="U100" s="15"/>
      <c r="V100" s="57">
        <f>IF(V$99&gt;0,V$99/((V$77+V$78)/2),0)</f>
        <v>0.001501468456678135</v>
      </c>
      <c r="W100" s="12"/>
      <c r="X100" s="15"/>
      <c r="Y100" s="15"/>
      <c r="Z100" s="57">
        <f>IF(Z$99&gt;0,Z$99/((Z$77+Z$78)/2),0)</f>
        <v>0.003283358425638955</v>
      </c>
      <c r="AA100" s="15"/>
      <c r="AB100" s="33"/>
      <c r="AC100" s="15"/>
      <c r="AD100" s="57">
        <f>IF(AD$99&gt;0,AD$99/((AD$77+AD$78)/2),0)</f>
        <v>0.0024711917395391883</v>
      </c>
      <c r="AE100" s="12"/>
      <c r="AF100" s="15"/>
      <c r="AG100" s="15"/>
      <c r="AH100" s="57">
        <f>IF(AH$99&gt;0,AH$99/((AH$77+AH$78)/2),0)</f>
        <v>0.0015203310133871063</v>
      </c>
      <c r="AI100" s="15"/>
      <c r="AJ100" s="33"/>
      <c r="AK100" s="15"/>
      <c r="AL100" s="57">
        <f>IF(AL$99&gt;0,AL$99/((AL$77+AL$78)/2),0)</f>
        <v>0.0019198767584474045</v>
      </c>
      <c r="AM100" s="12"/>
      <c r="AN100" s="15"/>
      <c r="AO100" s="15"/>
      <c r="AP100" s="57">
        <f>IF(AP$99&gt;0,AP$99/((AP$77+AP$78)/2),0)</f>
        <v>0.00278826045465511</v>
      </c>
      <c r="AQ100" s="15"/>
      <c r="AR100" s="33"/>
      <c r="AS100" s="15"/>
      <c r="AT100" s="57">
        <f>IF(AT$99&gt;0,AT$99/((AT$77+AT$78)/2),0)</f>
        <v>0.0026204977996363583</v>
      </c>
      <c r="AU100" s="12"/>
      <c r="AV100" s="15"/>
      <c r="AW100" s="15"/>
      <c r="AX100" s="57">
        <f>IF(AX$99&gt;0,AX$99/((AX$77+AX$78)/2),0)</f>
        <v>0.0007654620331707904</v>
      </c>
      <c r="AY100" s="15"/>
      <c r="AZ100" s="34"/>
      <c r="BA100" s="6"/>
      <c r="BB100" s="57">
        <f>IF(BB$99&gt;0,BB$99/((BB$77+BB$78)/2),0)</f>
        <v>0.0024485258773914963</v>
      </c>
      <c r="BC100" s="13"/>
    </row>
    <row r="101" spans="1:55" ht="12.75">
      <c r="A101" s="25"/>
      <c r="B101" s="25"/>
      <c r="C101" s="25" t="s">
        <v>9</v>
      </c>
      <c r="D101" s="33"/>
      <c r="E101" s="5">
        <f>'Allianz Suisse'!E103</f>
        <v>51879.588</v>
      </c>
      <c r="F101" s="15"/>
      <c r="G101" s="12"/>
      <c r="H101" s="15"/>
      <c r="I101" s="5">
        <f>Basler!E103</f>
        <v>96412.129</v>
      </c>
      <c r="J101" s="15"/>
      <c r="K101" s="15"/>
      <c r="L101" s="33"/>
      <c r="M101" s="5">
        <f>Generali!E103</f>
        <v>2764.28406</v>
      </c>
      <c r="N101" s="15"/>
      <c r="O101" s="12"/>
      <c r="P101" s="15"/>
      <c r="Q101" s="5">
        <f>Helvetia!E103</f>
        <v>92940.18331599995</v>
      </c>
      <c r="R101" s="15"/>
      <c r="S101" s="15"/>
      <c r="T101" s="33"/>
      <c r="U101" s="5">
        <f>Mobiliar!E103</f>
        <v>30660.4</v>
      </c>
      <c r="V101" s="15"/>
      <c r="W101" s="12"/>
      <c r="X101" s="15"/>
      <c r="Y101" s="5">
        <f>Nationale!E103</f>
        <v>13310</v>
      </c>
      <c r="Z101" s="15"/>
      <c r="AA101" s="15"/>
      <c r="AB101" s="33"/>
      <c r="AC101" s="5">
        <f>Pax!E103</f>
        <v>21835.387</v>
      </c>
      <c r="AD101" s="15"/>
      <c r="AE101" s="12"/>
      <c r="AF101" s="15"/>
      <c r="AG101" s="5">
        <f>Phenix!E103</f>
        <v>2141</v>
      </c>
      <c r="AH101" s="15"/>
      <c r="AI101" s="15"/>
      <c r="AJ101" s="33"/>
      <c r="AK101" s="5">
        <f>Rentenanstalt!E103</f>
        <v>331710.80847000005</v>
      </c>
      <c r="AL101" s="15"/>
      <c r="AM101" s="12"/>
      <c r="AN101" s="15"/>
      <c r="AO101" s="5">
        <f>Winterthur!E103</f>
        <v>210180</v>
      </c>
      <c r="AP101" s="15"/>
      <c r="AQ101" s="15"/>
      <c r="AR101" s="33"/>
      <c r="AS101" s="5">
        <f>Zenith!E103</f>
        <v>1295.249</v>
      </c>
      <c r="AT101" s="15"/>
      <c r="AU101" s="12"/>
      <c r="AV101" s="15"/>
      <c r="AW101" s="5">
        <f>Zuerich!E103</f>
        <v>161456.11403</v>
      </c>
      <c r="AX101" s="15"/>
      <c r="AY101" s="15"/>
      <c r="AZ101" s="34"/>
      <c r="BA101" s="5">
        <f>E101+I101+M101+Q101+U101+Y101+AC101+AG101+AK101+AO101+AS101+AW101</f>
        <v>1016585.1428759999</v>
      </c>
      <c r="BB101" s="6"/>
      <c r="BC101" s="13"/>
    </row>
    <row r="102" spans="1:55" ht="13.5" thickBot="1">
      <c r="A102" s="25"/>
      <c r="B102" s="25"/>
      <c r="C102" s="25" t="s">
        <v>118</v>
      </c>
      <c r="D102" s="33"/>
      <c r="E102" s="5">
        <f>'Allianz Suisse'!E104</f>
        <v>-49.128</v>
      </c>
      <c r="F102" s="55">
        <f>E$101-E$102</f>
        <v>51928.716</v>
      </c>
      <c r="G102" s="12"/>
      <c r="H102" s="15"/>
      <c r="I102" s="5">
        <f>Basler!E104</f>
        <v>907.657</v>
      </c>
      <c r="J102" s="55">
        <f>I$101-I$102</f>
        <v>95504.472</v>
      </c>
      <c r="K102" s="15"/>
      <c r="L102" s="33"/>
      <c r="M102" s="5">
        <f>Generali!E104</f>
        <v>0</v>
      </c>
      <c r="N102" s="55">
        <f>M$101-M$102</f>
        <v>2764.28406</v>
      </c>
      <c r="O102" s="12"/>
      <c r="P102" s="15"/>
      <c r="Q102" s="5">
        <f>Helvetia!E104</f>
        <v>6123.55792</v>
      </c>
      <c r="R102" s="55">
        <f>Q$101-Q$102</f>
        <v>86816.62539599994</v>
      </c>
      <c r="S102" s="15"/>
      <c r="T102" s="33"/>
      <c r="U102" s="5">
        <f>Mobiliar!E104</f>
        <v>0</v>
      </c>
      <c r="V102" s="55">
        <f>U$101-U$102</f>
        <v>30660.4</v>
      </c>
      <c r="W102" s="12"/>
      <c r="X102" s="15"/>
      <c r="Y102" s="5">
        <f>Nationale!E104</f>
        <v>313</v>
      </c>
      <c r="Z102" s="55">
        <f>Y$101-Y$102</f>
        <v>12997</v>
      </c>
      <c r="AA102" s="15"/>
      <c r="AB102" s="33"/>
      <c r="AC102" s="5">
        <f>Pax!E104</f>
        <v>0</v>
      </c>
      <c r="AD102" s="55">
        <f>AC$101-AC$102</f>
        <v>21835.387</v>
      </c>
      <c r="AE102" s="12"/>
      <c r="AF102" s="15"/>
      <c r="AG102" s="5">
        <f>Phenix!E104</f>
        <v>0</v>
      </c>
      <c r="AH102" s="55">
        <f>AG$101-AG$102</f>
        <v>2141</v>
      </c>
      <c r="AI102" s="15"/>
      <c r="AJ102" s="33"/>
      <c r="AK102" s="5">
        <f>Rentenanstalt!E104</f>
        <v>4287.55709</v>
      </c>
      <c r="AL102" s="55">
        <f>AK$101-AK$102</f>
        <v>327423.25138000003</v>
      </c>
      <c r="AM102" s="12"/>
      <c r="AN102" s="15"/>
      <c r="AO102" s="5">
        <f>Winterthur!E104</f>
        <v>5362</v>
      </c>
      <c r="AP102" s="55">
        <f>AO$101-AO$102</f>
        <v>204818</v>
      </c>
      <c r="AQ102" s="15"/>
      <c r="AR102" s="33"/>
      <c r="AS102" s="5">
        <f>Zenith!E104</f>
        <v>0</v>
      </c>
      <c r="AT102" s="55">
        <f>AS$101-AS$102</f>
        <v>1295.249</v>
      </c>
      <c r="AU102" s="12"/>
      <c r="AV102" s="15"/>
      <c r="AW102" s="5">
        <f>Zuerich!E104</f>
        <v>0</v>
      </c>
      <c r="AX102" s="55">
        <f>AW$101-AW$102</f>
        <v>161456.11403</v>
      </c>
      <c r="AY102" s="15"/>
      <c r="AZ102" s="34"/>
      <c r="BA102" s="5">
        <f>E102+I102+M102+Q102+U102+Y102+AC102+AG102+AK102+AO102+AS102+AW102</f>
        <v>16944.64401</v>
      </c>
      <c r="BB102" s="55">
        <f>BA$101-BA$102</f>
        <v>999640.4988659999</v>
      </c>
      <c r="BC102" s="13"/>
    </row>
    <row r="103" spans="1:55" ht="12.75">
      <c r="A103" s="25"/>
      <c r="B103" s="25"/>
      <c r="C103" s="25" t="s">
        <v>119</v>
      </c>
      <c r="D103" s="33"/>
      <c r="E103" s="15"/>
      <c r="F103" s="3">
        <f>IF(F$96&gt;0,(1000*F$102)/F$96,0)</f>
        <v>445.9850561681954</v>
      </c>
      <c r="G103" s="12"/>
      <c r="H103" s="15"/>
      <c r="I103" s="15"/>
      <c r="J103" s="3">
        <f>IF(J$96&gt;0,(1000*J$102)/J$96,0)</f>
        <v>532.6874749007184</v>
      </c>
      <c r="K103" s="15"/>
      <c r="L103" s="33"/>
      <c r="M103" s="15"/>
      <c r="N103" s="3">
        <f>IF(N$96&gt;0,(1000*N$102)/N$96,0)</f>
        <v>383.7684381507705</v>
      </c>
      <c r="O103" s="12"/>
      <c r="P103" s="15"/>
      <c r="Q103" s="15"/>
      <c r="R103" s="3">
        <f>IF(R$96&gt;0,(1000*R$102)/R$96,0)</f>
        <v>518.8430998356989</v>
      </c>
      <c r="S103" s="15"/>
      <c r="T103" s="33"/>
      <c r="U103" s="15"/>
      <c r="V103" s="3">
        <f>IF(V$96&gt;0,(1000*V$102)/V$96,0)</f>
        <v>214.3469354940192</v>
      </c>
      <c r="W103" s="12"/>
      <c r="X103" s="15"/>
      <c r="Y103" s="15"/>
      <c r="Z103" s="3">
        <f>IF(Z$96&gt;0,(1000*Z$102)/Z$96,0)</f>
        <v>551.6085221967575</v>
      </c>
      <c r="AA103" s="15"/>
      <c r="AB103" s="33"/>
      <c r="AC103" s="15"/>
      <c r="AD103" s="3">
        <f>IF(AD$96&gt;0,(1000*AD$102)/AD$96,0)</f>
        <v>539.1986122086132</v>
      </c>
      <c r="AE103" s="12"/>
      <c r="AF103" s="15"/>
      <c r="AG103" s="15"/>
      <c r="AH103" s="3">
        <f>IF(AH$96&gt;0,(1000*AH$102)/AH$96,0)</f>
        <v>850.9538950715421</v>
      </c>
      <c r="AI103" s="15"/>
      <c r="AJ103" s="33"/>
      <c r="AK103" s="15"/>
      <c r="AL103" s="3">
        <f>IF(AL$96&gt;0,(1000*AL$102)/AL$96,0)</f>
        <v>532.1203855242331</v>
      </c>
      <c r="AM103" s="12"/>
      <c r="AN103" s="15"/>
      <c r="AO103" s="15"/>
      <c r="AP103" s="3">
        <f>IF(AP$96&gt;0,(1000*AP$102)/AP$96,0)</f>
        <v>343.1885243017448</v>
      </c>
      <c r="AQ103" s="15"/>
      <c r="AR103" s="33"/>
      <c r="AS103" s="15"/>
      <c r="AT103" s="3">
        <f>IF(AT$96&gt;0,(1000*AT$102)/AT$96,0)</f>
        <v>1715.5615894039736</v>
      </c>
      <c r="AU103" s="12"/>
      <c r="AV103" s="15"/>
      <c r="AW103" s="15"/>
      <c r="AX103" s="3">
        <f>IF(AX$96&gt;0,(1000*AX$102)/AX$96,0)</f>
        <v>772.0887642743741</v>
      </c>
      <c r="AY103" s="15"/>
      <c r="AZ103" s="34"/>
      <c r="BA103" s="6"/>
      <c r="BB103" s="3">
        <f>IF(BB$96&gt;0,(1000*BB$102)/BB$96,0)</f>
        <v>475.5963848688602</v>
      </c>
      <c r="BC103" s="13"/>
    </row>
    <row r="104" spans="1:55" ht="12.75">
      <c r="A104" s="25"/>
      <c r="B104" s="25"/>
      <c r="C104" s="25" t="s">
        <v>120</v>
      </c>
      <c r="D104" s="33"/>
      <c r="E104" s="15"/>
      <c r="F104" s="3">
        <f>IF(F$96&gt;0,E$12*1000/F$96,0)</f>
        <v>438.0751829331134</v>
      </c>
      <c r="G104" s="12"/>
      <c r="H104" s="15"/>
      <c r="I104" s="15"/>
      <c r="J104" s="3">
        <f>IF(J$96&gt;0,I$12*1000/J$96,0)</f>
        <v>424.5872451028513</v>
      </c>
      <c r="K104" s="15"/>
      <c r="L104" s="33"/>
      <c r="M104" s="15"/>
      <c r="N104" s="3">
        <f>IF(N$96&gt;0,M$12*1000/N$96,0)</f>
        <v>156.8653565144187</v>
      </c>
      <c r="O104" s="12"/>
      <c r="P104" s="15"/>
      <c r="Q104" s="15"/>
      <c r="R104" s="3">
        <f>IF(R$96&gt;0,Q$12*1000/R$96,0)</f>
        <v>515.7912312259465</v>
      </c>
      <c r="S104" s="15"/>
      <c r="T104" s="33"/>
      <c r="U104" s="15"/>
      <c r="V104" s="3">
        <f>IF(V$96&gt;0,U$12*1000/V$96,0)</f>
        <v>128.32374074566033</v>
      </c>
      <c r="W104" s="12"/>
      <c r="X104" s="15"/>
      <c r="Y104" s="15"/>
      <c r="Z104" s="3">
        <f>IF(Z$96&gt;0,Y$12*1000/Z$96,0)</f>
        <v>423.7755708343944</v>
      </c>
      <c r="AA104" s="15"/>
      <c r="AB104" s="33"/>
      <c r="AC104" s="15"/>
      <c r="AD104" s="3">
        <f>IF(AD$96&gt;0,AC$12*1000/AD$96,0)</f>
        <v>566.0559067562228</v>
      </c>
      <c r="AE104" s="12"/>
      <c r="AF104" s="15"/>
      <c r="AG104" s="15"/>
      <c r="AH104" s="3">
        <f>IF(AH$96&gt;0,AG$12*1000/AH$96,0)</f>
        <v>295.7074721780604</v>
      </c>
      <c r="AI104" s="15"/>
      <c r="AJ104" s="33"/>
      <c r="AK104" s="15"/>
      <c r="AL104" s="3">
        <f>IF(AL$96&gt;0,AK$12*1000/AL$96,0)</f>
        <v>395.5549754598435</v>
      </c>
      <c r="AM104" s="12"/>
      <c r="AN104" s="15"/>
      <c r="AO104" s="15"/>
      <c r="AP104" s="3">
        <f>IF(AP$96&gt;0,AO$12*1000/AP$96,0)</f>
        <v>314.7874780708736</v>
      </c>
      <c r="AQ104" s="15"/>
      <c r="AR104" s="33"/>
      <c r="AS104" s="15"/>
      <c r="AT104" s="3">
        <f>IF(AT$96&gt;0,AS$12*1000/AT$96,0)</f>
        <v>146.94384105960265</v>
      </c>
      <c r="AU104" s="12"/>
      <c r="AV104" s="15"/>
      <c r="AW104" s="15"/>
      <c r="AX104" s="3">
        <f>IF(AX$96&gt;0,AW$12*1000/AX$96,0)</f>
        <v>417.4859448344459</v>
      </c>
      <c r="AY104" s="15"/>
      <c r="AZ104" s="34"/>
      <c r="BA104" s="6"/>
      <c r="BB104" s="3">
        <f>IF(BB$96&gt;0,BA$12*1000/BB$96,0)</f>
        <v>373.59568994750396</v>
      </c>
      <c r="BC104" s="13"/>
    </row>
    <row r="105" spans="1:55" ht="12.75">
      <c r="A105" s="25"/>
      <c r="B105" s="25"/>
      <c r="C105" s="25"/>
      <c r="D105" s="33"/>
      <c r="E105" s="15"/>
      <c r="F105" s="15"/>
      <c r="G105" s="12"/>
      <c r="H105" s="15"/>
      <c r="I105" s="15"/>
      <c r="J105" s="15"/>
      <c r="K105" s="15"/>
      <c r="L105" s="33"/>
      <c r="M105" s="15"/>
      <c r="N105" s="15"/>
      <c r="O105" s="12"/>
      <c r="P105" s="15"/>
      <c r="Q105" s="15"/>
      <c r="R105" s="15"/>
      <c r="S105" s="15"/>
      <c r="T105" s="33"/>
      <c r="U105" s="15"/>
      <c r="V105" s="15"/>
      <c r="W105" s="12"/>
      <c r="X105" s="15"/>
      <c r="Y105" s="15"/>
      <c r="Z105" s="15"/>
      <c r="AA105" s="15"/>
      <c r="AB105" s="33"/>
      <c r="AC105" s="15"/>
      <c r="AD105" s="15"/>
      <c r="AE105" s="12"/>
      <c r="AF105" s="15"/>
      <c r="AG105" s="15"/>
      <c r="AH105" s="15"/>
      <c r="AI105" s="15"/>
      <c r="AJ105" s="33"/>
      <c r="AK105" s="15"/>
      <c r="AL105" s="15"/>
      <c r="AM105" s="12"/>
      <c r="AN105" s="15"/>
      <c r="AO105" s="15"/>
      <c r="AP105" s="15"/>
      <c r="AQ105" s="15"/>
      <c r="AR105" s="33"/>
      <c r="AS105" s="15"/>
      <c r="AT105" s="15"/>
      <c r="AU105" s="12"/>
      <c r="AV105" s="15"/>
      <c r="AW105" s="15"/>
      <c r="AX105" s="15"/>
      <c r="AY105" s="15"/>
      <c r="AZ105" s="34"/>
      <c r="BA105" s="6"/>
      <c r="BB105" s="6"/>
      <c r="BC105" s="13"/>
    </row>
    <row r="106" spans="1:55" ht="12.75">
      <c r="A106" s="48" t="s">
        <v>144</v>
      </c>
      <c r="B106" s="25"/>
      <c r="C106" s="25"/>
      <c r="D106" s="33"/>
      <c r="E106" s="15"/>
      <c r="F106" s="15"/>
      <c r="G106" s="12"/>
      <c r="H106" s="15"/>
      <c r="I106" s="15"/>
      <c r="J106" s="15"/>
      <c r="K106" s="15"/>
      <c r="L106" s="33"/>
      <c r="M106" s="15"/>
      <c r="N106" s="15"/>
      <c r="O106" s="12"/>
      <c r="P106" s="15"/>
      <c r="Q106" s="15"/>
      <c r="R106" s="15"/>
      <c r="S106" s="15"/>
      <c r="T106" s="33"/>
      <c r="U106" s="15"/>
      <c r="V106" s="15"/>
      <c r="W106" s="12"/>
      <c r="X106" s="15"/>
      <c r="Y106" s="15"/>
      <c r="Z106" s="15"/>
      <c r="AA106" s="15"/>
      <c r="AB106" s="33"/>
      <c r="AC106" s="15"/>
      <c r="AD106" s="15"/>
      <c r="AE106" s="12"/>
      <c r="AF106" s="15"/>
      <c r="AG106" s="15"/>
      <c r="AH106" s="15"/>
      <c r="AI106" s="15"/>
      <c r="AJ106" s="33"/>
      <c r="AK106" s="15"/>
      <c r="AL106" s="15"/>
      <c r="AM106" s="12"/>
      <c r="AN106" s="15"/>
      <c r="AO106" s="15"/>
      <c r="AP106" s="15"/>
      <c r="AQ106" s="15"/>
      <c r="AR106" s="33"/>
      <c r="AS106" s="15"/>
      <c r="AT106" s="15"/>
      <c r="AU106" s="12"/>
      <c r="AV106" s="15"/>
      <c r="AW106" s="15"/>
      <c r="AX106" s="15"/>
      <c r="AY106" s="15"/>
      <c r="AZ106" s="34"/>
      <c r="BA106" s="6"/>
      <c r="BB106" s="6"/>
      <c r="BC106" s="13"/>
    </row>
    <row r="107" spans="1:55" ht="12.75">
      <c r="A107" s="25"/>
      <c r="B107" s="50" t="s">
        <v>56</v>
      </c>
      <c r="C107" s="25"/>
      <c r="D107" s="107" t="s">
        <v>142</v>
      </c>
      <c r="E107" s="108"/>
      <c r="F107" s="108" t="s">
        <v>143</v>
      </c>
      <c r="G107" s="109"/>
      <c r="H107" s="100" t="s">
        <v>142</v>
      </c>
      <c r="I107" s="100"/>
      <c r="J107" s="100" t="s">
        <v>143</v>
      </c>
      <c r="K107" s="100"/>
      <c r="L107" s="107" t="s">
        <v>142</v>
      </c>
      <c r="M107" s="108"/>
      <c r="N107" s="108" t="s">
        <v>143</v>
      </c>
      <c r="O107" s="109"/>
      <c r="P107" s="100" t="s">
        <v>142</v>
      </c>
      <c r="Q107" s="100"/>
      <c r="R107" s="100" t="s">
        <v>143</v>
      </c>
      <c r="S107" s="100"/>
      <c r="T107" s="107" t="s">
        <v>142</v>
      </c>
      <c r="U107" s="108"/>
      <c r="V107" s="108" t="s">
        <v>143</v>
      </c>
      <c r="W107" s="109"/>
      <c r="X107" s="100" t="s">
        <v>142</v>
      </c>
      <c r="Y107" s="100"/>
      <c r="Z107" s="100" t="s">
        <v>143</v>
      </c>
      <c r="AA107" s="100"/>
      <c r="AB107" s="107" t="s">
        <v>142</v>
      </c>
      <c r="AC107" s="108"/>
      <c r="AD107" s="108" t="s">
        <v>143</v>
      </c>
      <c r="AE107" s="109"/>
      <c r="AF107" s="100" t="s">
        <v>142</v>
      </c>
      <c r="AG107" s="100"/>
      <c r="AH107" s="100" t="s">
        <v>143</v>
      </c>
      <c r="AI107" s="100"/>
      <c r="AJ107" s="107" t="s">
        <v>142</v>
      </c>
      <c r="AK107" s="108"/>
      <c r="AL107" s="108" t="s">
        <v>143</v>
      </c>
      <c r="AM107" s="109"/>
      <c r="AN107" s="100" t="s">
        <v>142</v>
      </c>
      <c r="AO107" s="100"/>
      <c r="AP107" s="100" t="s">
        <v>143</v>
      </c>
      <c r="AQ107" s="100"/>
      <c r="AR107" s="107" t="s">
        <v>142</v>
      </c>
      <c r="AS107" s="108"/>
      <c r="AT107" s="108" t="s">
        <v>143</v>
      </c>
      <c r="AU107" s="109"/>
      <c r="AV107" s="100" t="s">
        <v>142</v>
      </c>
      <c r="AW107" s="100"/>
      <c r="AX107" s="100" t="s">
        <v>143</v>
      </c>
      <c r="AY107" s="100"/>
      <c r="AZ107" s="107" t="s">
        <v>142</v>
      </c>
      <c r="BA107" s="108"/>
      <c r="BB107" s="108" t="s">
        <v>143</v>
      </c>
      <c r="BC107" s="109"/>
    </row>
    <row r="108" spans="1:55" ht="12.75">
      <c r="A108" s="25"/>
      <c r="B108" s="25"/>
      <c r="C108" s="25" t="s">
        <v>121</v>
      </c>
      <c r="D108" s="80">
        <f>'Allianz Suisse'!D110</f>
        <v>200989.74599999998</v>
      </c>
      <c r="E108" s="15"/>
      <c r="F108" s="5">
        <f>'Allianz Suisse'!F110</f>
        <v>15006.254</v>
      </c>
      <c r="G108" s="12"/>
      <c r="H108" s="5">
        <f>Basler!D110</f>
        <v>362150</v>
      </c>
      <c r="I108" s="15"/>
      <c r="J108" s="5">
        <f>Basler!F110</f>
        <v>111044</v>
      </c>
      <c r="K108" s="15"/>
      <c r="L108" s="80">
        <f>Generali!D110</f>
        <v>11342</v>
      </c>
      <c r="M108" s="15"/>
      <c r="N108" s="5">
        <f>Generali!F110</f>
        <v>0</v>
      </c>
      <c r="O108" s="12"/>
      <c r="P108" s="5">
        <f>Helvetia!D110</f>
        <v>267887.80911609164</v>
      </c>
      <c r="Q108" s="15"/>
      <c r="R108" s="5">
        <f>Helvetia!F110</f>
        <v>39086.902700213046</v>
      </c>
      <c r="S108" s="15"/>
      <c r="T108" s="80">
        <f>Mobiliar!D110</f>
        <v>25457</v>
      </c>
      <c r="U108" s="15"/>
      <c r="V108" s="5">
        <f>Mobiliar!F110</f>
        <v>16351</v>
      </c>
      <c r="W108" s="12"/>
      <c r="X108" s="5">
        <f>Nationale!D110</f>
        <v>38033</v>
      </c>
      <c r="Y108" s="15"/>
      <c r="Z108" s="5">
        <f>Nationale!F110</f>
        <v>8873</v>
      </c>
      <c r="AA108" s="15"/>
      <c r="AB108" s="80">
        <f>Pax!D110</f>
        <v>66651</v>
      </c>
      <c r="AC108" s="15"/>
      <c r="AD108" s="5">
        <f>Pax!F110</f>
        <v>78</v>
      </c>
      <c r="AE108" s="12"/>
      <c r="AF108" s="5">
        <f>Phenix!D110</f>
        <v>3564</v>
      </c>
      <c r="AG108" s="15"/>
      <c r="AH108" s="5">
        <f>Phenix!F110</f>
        <v>0</v>
      </c>
      <c r="AI108" s="15"/>
      <c r="AJ108" s="80">
        <f>Rentenanstalt!D110</f>
        <v>1182093</v>
      </c>
      <c r="AK108" s="15"/>
      <c r="AL108" s="5">
        <f>Rentenanstalt!F110</f>
        <v>272212</v>
      </c>
      <c r="AM108" s="12"/>
      <c r="AN108" s="5">
        <f>Winterthur!D110</f>
        <v>1250834</v>
      </c>
      <c r="AO108" s="15"/>
      <c r="AP108" s="5">
        <f>Winterthur!F110</f>
        <v>0</v>
      </c>
      <c r="AQ108" s="15"/>
      <c r="AR108" s="80">
        <f>Zenith!D110</f>
        <v>998</v>
      </c>
      <c r="AS108" s="15"/>
      <c r="AT108" s="5">
        <f>Zenith!F110</f>
        <v>0</v>
      </c>
      <c r="AU108" s="12"/>
      <c r="AV108" s="5">
        <f>Zuerich!D110</f>
        <v>301713</v>
      </c>
      <c r="AW108" s="15"/>
      <c r="AX108" s="5">
        <f>Zuerich!F110</f>
        <v>40527</v>
      </c>
      <c r="AY108" s="15"/>
      <c r="AZ108" s="80">
        <f>D108+H108+L108+P108+T108+X108+AB108+AF108+AJ108+AN108+AR108+AV108</f>
        <v>3711712.555116092</v>
      </c>
      <c r="BA108" s="6"/>
      <c r="BB108" s="5">
        <f>F108+J108+N108+R108+V108+Z108+AD108+AH108+AL108+AP108+AT108+AX108</f>
        <v>503178.15670021303</v>
      </c>
      <c r="BC108" s="13"/>
    </row>
    <row r="109" spans="1:55" ht="12.75">
      <c r="A109" s="25"/>
      <c r="B109" s="25"/>
      <c r="C109" s="25" t="s">
        <v>122</v>
      </c>
      <c r="D109" s="80">
        <f>'Allianz Suisse'!D111</f>
        <v>115150.762</v>
      </c>
      <c r="E109" s="15"/>
      <c r="F109" s="5">
        <f>'Allianz Suisse'!F111</f>
        <v>25247.272</v>
      </c>
      <c r="G109" s="12"/>
      <c r="H109" s="5">
        <f>Basler!D111</f>
        <v>149357.57</v>
      </c>
      <c r="I109" s="15"/>
      <c r="J109" s="5">
        <f>Basler!F111</f>
        <v>61575.933</v>
      </c>
      <c r="K109" s="15"/>
      <c r="L109" s="80">
        <f>Generali!D111</f>
        <v>2035.2781449336376</v>
      </c>
      <c r="M109" s="15"/>
      <c r="N109" s="5">
        <f>Generali!F111</f>
        <v>0</v>
      </c>
      <c r="O109" s="12"/>
      <c r="P109" s="5">
        <f>Helvetia!D111</f>
        <v>174147.2516604813</v>
      </c>
      <c r="Q109" s="15"/>
      <c r="R109" s="5">
        <f>Helvetia!F111</f>
        <v>96513.7567800315</v>
      </c>
      <c r="S109" s="15"/>
      <c r="T109" s="80">
        <f>Mobiliar!D111</f>
        <v>133164.515032</v>
      </c>
      <c r="U109" s="15"/>
      <c r="V109" s="5">
        <f>Mobiliar!F111</f>
        <v>173082.60776800002</v>
      </c>
      <c r="W109" s="12"/>
      <c r="X109" s="5">
        <f>Nationale!D111</f>
        <v>25962</v>
      </c>
      <c r="Y109" s="15"/>
      <c r="Z109" s="5">
        <f>Nationale!F111</f>
        <v>5361</v>
      </c>
      <c r="AA109" s="15"/>
      <c r="AB109" s="80">
        <f>Pax!D111</f>
        <v>63540.851</v>
      </c>
      <c r="AC109" s="15"/>
      <c r="AD109" s="5">
        <f>Pax!F111</f>
        <v>0</v>
      </c>
      <c r="AE109" s="12"/>
      <c r="AF109" s="5">
        <f>Phenix!D111</f>
        <v>2130</v>
      </c>
      <c r="AG109" s="15"/>
      <c r="AH109" s="5">
        <f>Phenix!F111</f>
        <v>0</v>
      </c>
      <c r="AI109" s="15"/>
      <c r="AJ109" s="80">
        <f>Rentenanstalt!D111</f>
        <v>674827.822</v>
      </c>
      <c r="AK109" s="15"/>
      <c r="AL109" s="5">
        <f>Rentenanstalt!F111</f>
        <v>210029.81347999998</v>
      </c>
      <c r="AM109" s="12"/>
      <c r="AN109" s="5">
        <f>Winterthur!D111</f>
        <v>643375</v>
      </c>
      <c r="AO109" s="15"/>
      <c r="AP109" s="5">
        <f>Winterthur!F111</f>
        <v>175227</v>
      </c>
      <c r="AQ109" s="15"/>
      <c r="AR109" s="80">
        <f>Zenith!D111</f>
        <v>1271.3645999999999</v>
      </c>
      <c r="AS109" s="15"/>
      <c r="AT109" s="5">
        <f>Zenith!F111</f>
        <v>0</v>
      </c>
      <c r="AU109" s="12"/>
      <c r="AV109" s="5">
        <f>Zuerich!D111</f>
        <v>233334.5895485505</v>
      </c>
      <c r="AW109" s="15"/>
      <c r="AX109" s="5">
        <f>Zuerich!F111</f>
        <v>97653.92028144952</v>
      </c>
      <c r="AY109" s="15"/>
      <c r="AZ109" s="80">
        <f>D109+H109+L109+P109+T109+X109+AB109+AF109+AJ109+AN109+AR109+AV109</f>
        <v>2218297.0039859656</v>
      </c>
      <c r="BA109" s="6"/>
      <c r="BB109" s="5">
        <f>F109+J109+N109+R109+V109+Z109+AD109+AH109+AL109+AP109+AT109+AX109</f>
        <v>844691.3033094811</v>
      </c>
      <c r="BC109" s="13"/>
    </row>
    <row r="110" spans="1:55" ht="12.75">
      <c r="A110" s="25"/>
      <c r="B110" s="25"/>
      <c r="C110" s="25" t="s">
        <v>123</v>
      </c>
      <c r="D110" s="80">
        <f>'Allianz Suisse'!D112</f>
        <v>48969.916</v>
      </c>
      <c r="E110" s="3">
        <f>SUM(D$108:D$110)</f>
        <v>365110.424</v>
      </c>
      <c r="F110" s="5">
        <f>'Allianz Suisse'!F112</f>
        <v>2037.806</v>
      </c>
      <c r="G110" s="81">
        <f>SUM(F$108:F$110)</f>
        <v>42291.331999999995</v>
      </c>
      <c r="H110" s="5">
        <f>Basler!D112</f>
        <v>66731.659</v>
      </c>
      <c r="I110" s="3">
        <f>SUM(H$108:H$110)</f>
        <v>578239.229</v>
      </c>
      <c r="J110" s="5">
        <f>Basler!F112</f>
        <v>9391.739</v>
      </c>
      <c r="K110" s="3">
        <f>SUM(J$108:J$110)</f>
        <v>182011.672</v>
      </c>
      <c r="L110" s="80">
        <f>Generali!D112</f>
        <v>1129.901162973358</v>
      </c>
      <c r="M110" s="3">
        <f>SUM(L$108:L$110)</f>
        <v>14507.179307906996</v>
      </c>
      <c r="N110" s="5">
        <f>Generali!F112</f>
        <v>0</v>
      </c>
      <c r="O110" s="81">
        <f>SUM(N$108:N$110)</f>
        <v>0</v>
      </c>
      <c r="P110" s="5">
        <f>Helvetia!D112</f>
        <v>55137.81995843325</v>
      </c>
      <c r="Q110" s="3">
        <f>SUM(P$108:P$110)</f>
        <v>497172.8807350062</v>
      </c>
      <c r="R110" s="5">
        <f>Helvetia!F112</f>
        <v>31168.14444210471</v>
      </c>
      <c r="S110" s="3">
        <f>SUM(R$108:R$110)</f>
        <v>166768.80392234927</v>
      </c>
      <c r="T110" s="80">
        <f>Mobiliar!D112</f>
        <v>8545.980968</v>
      </c>
      <c r="U110" s="3">
        <f>SUM(T$108:T$110)</f>
        <v>167167.49599999998</v>
      </c>
      <c r="V110" s="5">
        <f>Mobiliar!F112</f>
        <v>9809.575232000001</v>
      </c>
      <c r="W110" s="81">
        <f>SUM(V$108:V$110)</f>
        <v>199243.18300000002</v>
      </c>
      <c r="X110" s="5">
        <f>Nationale!D112</f>
        <v>9985</v>
      </c>
      <c r="Y110" s="3">
        <f>SUM(X$108:X$110)</f>
        <v>73980</v>
      </c>
      <c r="Z110" s="5">
        <f>Nationale!F112</f>
        <v>0</v>
      </c>
      <c r="AA110" s="3">
        <f>SUM(Z$108:Z$110)</f>
        <v>14234</v>
      </c>
      <c r="AB110" s="80">
        <f>Pax!D112</f>
        <v>22923</v>
      </c>
      <c r="AC110" s="3">
        <f>SUM(AB$108:AB$110)</f>
        <v>153114.851</v>
      </c>
      <c r="AD110" s="5">
        <f>Pax!F112</f>
        <v>0</v>
      </c>
      <c r="AE110" s="81">
        <f>SUM(AD$108:AD$110)</f>
        <v>78</v>
      </c>
      <c r="AF110" s="5">
        <f>Phenix!D112</f>
        <v>744</v>
      </c>
      <c r="AG110" s="3">
        <f>SUM(AF$108:AF$110)</f>
        <v>6438</v>
      </c>
      <c r="AH110" s="5">
        <f>Phenix!F112</f>
        <v>0</v>
      </c>
      <c r="AI110" s="3">
        <f>SUM(AH$108:AH$110)</f>
        <v>0</v>
      </c>
      <c r="AJ110" s="80">
        <f>Rentenanstalt!D112</f>
        <v>207960.0925</v>
      </c>
      <c r="AK110" s="3">
        <f>SUM(AJ$108:AJ$110)</f>
        <v>2064880.9145000002</v>
      </c>
      <c r="AL110" s="5">
        <f>Rentenanstalt!F112</f>
        <v>35432.00389</v>
      </c>
      <c r="AM110" s="81">
        <f>SUM(AL$108:AL$110)</f>
        <v>517673.81737</v>
      </c>
      <c r="AN110" s="5">
        <f>Winterthur!D112</f>
        <v>150421</v>
      </c>
      <c r="AO110" s="3">
        <f>SUM(AN$108:AN$110)</f>
        <v>2044630</v>
      </c>
      <c r="AP110" s="5">
        <f>Winterthur!F112</f>
        <v>37447</v>
      </c>
      <c r="AQ110" s="3">
        <f>SUM(AP$108:AP$110)</f>
        <v>212674</v>
      </c>
      <c r="AR110" s="80">
        <f>Zenith!D112</f>
        <v>110.9426</v>
      </c>
      <c r="AS110" s="3">
        <f>SUM(AR$108:AR$110)</f>
        <v>2380.3071999999997</v>
      </c>
      <c r="AT110" s="5">
        <f>Zenith!F112</f>
        <v>0</v>
      </c>
      <c r="AU110" s="81">
        <f>SUM(AT$108:AT$110)</f>
        <v>0</v>
      </c>
      <c r="AV110" s="5">
        <f>Zuerich!D112</f>
        <v>84383.12669267113</v>
      </c>
      <c r="AW110" s="3">
        <f>SUM(AV$108:AV$110)</f>
        <v>619430.7162412216</v>
      </c>
      <c r="AX110" s="5">
        <f>Zuerich!F112</f>
        <v>2919.864147328865</v>
      </c>
      <c r="AY110" s="3">
        <f>SUM(AX$108:AX$110)</f>
        <v>141100.78442877837</v>
      </c>
      <c r="AZ110" s="80">
        <f>D110+H110+L110+P110+T110+X110+AB110+AF110+AJ110+AN110+AR110+AV110</f>
        <v>657042.4388820776</v>
      </c>
      <c r="BA110" s="3">
        <f>SUM(AZ$108:AZ$110)</f>
        <v>6587051.9979841355</v>
      </c>
      <c r="BB110" s="5">
        <f>F110+J110+N110+R110+V110+Z110+AD110+AH110+AL110+AP110+AT110+AX110</f>
        <v>128206.13271143357</v>
      </c>
      <c r="BC110" s="81">
        <f>SUM(BB$108:BB$110)</f>
        <v>1476075.5927211277</v>
      </c>
    </row>
    <row r="111" spans="1:55" ht="12.75">
      <c r="A111" s="25"/>
      <c r="B111" s="50" t="s">
        <v>57</v>
      </c>
      <c r="C111" s="25"/>
      <c r="D111" s="33"/>
      <c r="E111" s="15"/>
      <c r="F111" s="15"/>
      <c r="G111" s="12"/>
      <c r="H111" s="15"/>
      <c r="I111" s="15"/>
      <c r="J111" s="15"/>
      <c r="K111" s="15"/>
      <c r="L111" s="33"/>
      <c r="M111" s="15"/>
      <c r="N111" s="15"/>
      <c r="O111" s="12"/>
      <c r="P111" s="15"/>
      <c r="Q111" s="15"/>
      <c r="R111" s="15"/>
      <c r="S111" s="15"/>
      <c r="T111" s="33"/>
      <c r="U111" s="15"/>
      <c r="V111" s="15"/>
      <c r="W111" s="12"/>
      <c r="X111" s="15"/>
      <c r="Y111" s="15"/>
      <c r="Z111" s="15"/>
      <c r="AA111" s="15"/>
      <c r="AB111" s="33"/>
      <c r="AC111" s="15"/>
      <c r="AD111" s="15"/>
      <c r="AE111" s="12"/>
      <c r="AF111" s="15"/>
      <c r="AG111" s="15"/>
      <c r="AH111" s="15"/>
      <c r="AI111" s="15"/>
      <c r="AJ111" s="33"/>
      <c r="AK111" s="15"/>
      <c r="AL111" s="15"/>
      <c r="AM111" s="12"/>
      <c r="AN111" s="15"/>
      <c r="AO111" s="15"/>
      <c r="AP111" s="15"/>
      <c r="AQ111" s="15"/>
      <c r="AR111" s="33"/>
      <c r="AS111" s="15"/>
      <c r="AT111" s="15"/>
      <c r="AU111" s="12"/>
      <c r="AV111" s="15"/>
      <c r="AW111" s="15"/>
      <c r="AX111" s="15"/>
      <c r="AY111" s="15"/>
      <c r="AZ111" s="34"/>
      <c r="BA111" s="6"/>
      <c r="BB111" s="6"/>
      <c r="BC111" s="13"/>
    </row>
    <row r="112" spans="1:55" ht="12.75">
      <c r="A112" s="25"/>
      <c r="B112" s="25"/>
      <c r="C112" s="25" t="s">
        <v>124</v>
      </c>
      <c r="D112" s="80">
        <f>'Allianz Suisse'!D114</f>
        <v>140895.196</v>
      </c>
      <c r="E112" s="15"/>
      <c r="F112" s="5">
        <f>'Allianz Suisse'!F114</f>
        <v>12938.048</v>
      </c>
      <c r="G112" s="12"/>
      <c r="H112" s="5">
        <f>Basler!D114</f>
        <v>230105.088</v>
      </c>
      <c r="I112" s="15"/>
      <c r="J112" s="5">
        <f>Basler!F114</f>
        <v>63999.884</v>
      </c>
      <c r="K112" s="15"/>
      <c r="L112" s="80">
        <f>Generali!D114</f>
        <v>8139.735693032022</v>
      </c>
      <c r="M112" s="15"/>
      <c r="N112" s="5">
        <f>Generali!F114</f>
        <v>0</v>
      </c>
      <c r="O112" s="12"/>
      <c r="P112" s="5">
        <f>Helvetia!D114</f>
        <v>214125.42332984967</v>
      </c>
      <c r="Q112" s="15"/>
      <c r="R112" s="5">
        <f>Helvetia!F114</f>
        <v>29035.069894562585</v>
      </c>
      <c r="S112" s="15"/>
      <c r="T112" s="80">
        <f>Mobiliar!D114</f>
        <v>28721.61331736538</v>
      </c>
      <c r="U112" s="15"/>
      <c r="V112" s="5">
        <f>Mobiliar!F114</f>
        <v>16803.333240634627</v>
      </c>
      <c r="W112" s="12"/>
      <c r="X112" s="5">
        <f>Nationale!D114</f>
        <v>33542</v>
      </c>
      <c r="Y112" s="15"/>
      <c r="Z112" s="5">
        <f>Nationale!F114</f>
        <v>7169</v>
      </c>
      <c r="AA112" s="15"/>
      <c r="AB112" s="80">
        <f>Pax!D114</f>
        <v>52594.95525</v>
      </c>
      <c r="AC112" s="15"/>
      <c r="AD112" s="5">
        <f>Pax!F114</f>
        <v>0</v>
      </c>
      <c r="AE112" s="12"/>
      <c r="AF112" s="5">
        <f>Phenix!D114</f>
        <v>2360</v>
      </c>
      <c r="AG112" s="15"/>
      <c r="AH112" s="5">
        <f>Phenix!F114</f>
        <v>0</v>
      </c>
      <c r="AI112" s="15"/>
      <c r="AJ112" s="80">
        <f>Rentenanstalt!D114</f>
        <v>1065713.1482197598</v>
      </c>
      <c r="AK112" s="15"/>
      <c r="AL112" s="5">
        <f>Rentenanstalt!F114</f>
        <v>236693.37040024024</v>
      </c>
      <c r="AM112" s="12"/>
      <c r="AN112" s="5">
        <f>Winterthur!D114</f>
        <v>1078632</v>
      </c>
      <c r="AO112" s="15"/>
      <c r="AP112" s="5">
        <f>Winterthur!F114</f>
        <v>0</v>
      </c>
      <c r="AQ112" s="15"/>
      <c r="AR112" s="80">
        <f>Zenith!D114</f>
        <v>2700.547136942367</v>
      </c>
      <c r="AS112" s="15"/>
      <c r="AT112" s="5">
        <f>Zenith!F114</f>
        <v>0</v>
      </c>
      <c r="AU112" s="12"/>
      <c r="AV112" s="5">
        <f>Zuerich!D114</f>
        <v>150162.6380952</v>
      </c>
      <c r="AW112" s="15"/>
      <c r="AX112" s="5">
        <f>Zuerich!F114</f>
        <v>17019.065113800003</v>
      </c>
      <c r="AY112" s="15"/>
      <c r="AZ112" s="80">
        <f>D112+H112+L112+P112+T112+X112+AB112+AF112+AJ112+AN112+AR112+AV112</f>
        <v>3007692.345042149</v>
      </c>
      <c r="BA112" s="6"/>
      <c r="BB112" s="5">
        <f>F112+J112+N112+R112+V112+Z112+AD112+AH112+AL112+AP112+AT112+AX112</f>
        <v>383657.77064923744</v>
      </c>
      <c r="BC112" s="13"/>
    </row>
    <row r="113" spans="1:55" ht="12.75">
      <c r="A113" s="25"/>
      <c r="B113" s="25"/>
      <c r="C113" s="25" t="s">
        <v>125</v>
      </c>
      <c r="D113" s="80">
        <f>'Allianz Suisse'!D115</f>
        <v>35494.75</v>
      </c>
      <c r="E113" s="15"/>
      <c r="F113" s="5">
        <f>'Allianz Suisse'!F115</f>
        <v>9982.721000000001</v>
      </c>
      <c r="G113" s="12"/>
      <c r="H113" s="5">
        <f>Basler!D115</f>
        <v>108895.31400000001</v>
      </c>
      <c r="I113" s="15"/>
      <c r="J113" s="5">
        <f>Basler!F115</f>
        <v>39274.201</v>
      </c>
      <c r="K113" s="15"/>
      <c r="L113" s="80">
        <f>Generali!D115</f>
        <v>4573.141174875007</v>
      </c>
      <c r="M113" s="15"/>
      <c r="N113" s="5">
        <f>Generali!F115</f>
        <v>132.80559999999997</v>
      </c>
      <c r="O113" s="12"/>
      <c r="P113" s="5">
        <f>Helvetia!D115</f>
        <v>130469.70108777506</v>
      </c>
      <c r="Q113" s="15"/>
      <c r="R113" s="5">
        <f>Helvetia!F115</f>
        <v>38026.79747760312</v>
      </c>
      <c r="S113" s="15"/>
      <c r="T113" s="80">
        <f>Mobiliar!D115</f>
        <v>60532.05329369996</v>
      </c>
      <c r="U113" s="15"/>
      <c r="V113" s="5">
        <f>Mobiliar!F115</f>
        <v>50911.621771300044</v>
      </c>
      <c r="W113" s="12"/>
      <c r="X113" s="5">
        <f>Nationale!D115</f>
        <v>16353</v>
      </c>
      <c r="Y113" s="15"/>
      <c r="Z113" s="5">
        <f>Nationale!F115</f>
        <v>-2608</v>
      </c>
      <c r="AA113" s="15"/>
      <c r="AB113" s="80">
        <f>Pax!D115</f>
        <v>25501.2</v>
      </c>
      <c r="AC113" s="15"/>
      <c r="AD113" s="5">
        <f>Pax!F115</f>
        <v>0</v>
      </c>
      <c r="AE113" s="12"/>
      <c r="AF113" s="5">
        <f>Phenix!D115</f>
        <v>2597</v>
      </c>
      <c r="AG113" s="15"/>
      <c r="AH113" s="5">
        <f>Phenix!F115</f>
        <v>0</v>
      </c>
      <c r="AI113" s="15"/>
      <c r="AJ113" s="80">
        <f>Rentenanstalt!D115</f>
        <v>332623.859489026</v>
      </c>
      <c r="AK113" s="15"/>
      <c r="AL113" s="5">
        <f>Rentenanstalt!F115</f>
        <v>106644.836170974</v>
      </c>
      <c r="AM113" s="12"/>
      <c r="AN113" s="5">
        <f>Winterthur!D115</f>
        <v>255341</v>
      </c>
      <c r="AO113" s="15"/>
      <c r="AP113" s="5">
        <f>Winterthur!F115</f>
        <v>108620</v>
      </c>
      <c r="AQ113" s="15"/>
      <c r="AR113" s="80">
        <f>Zenith!D115</f>
        <v>1145.1208999999997</v>
      </c>
      <c r="AS113" s="15"/>
      <c r="AT113" s="5">
        <f>Zenith!F115</f>
        <v>0</v>
      </c>
      <c r="AU113" s="12"/>
      <c r="AV113" s="5">
        <f>Zuerich!D115</f>
        <v>151821.1812430205</v>
      </c>
      <c r="AW113" s="15"/>
      <c r="AX113" s="5">
        <f>Zuerich!F115</f>
        <v>43539.212506979544</v>
      </c>
      <c r="AY113" s="15"/>
      <c r="AZ113" s="80">
        <f>D113+H113+L113+P113+T113+X113+AB113+AF113+AJ113+AN113+AR113+AV113</f>
        <v>1125347.3211883965</v>
      </c>
      <c r="BA113" s="6"/>
      <c r="BB113" s="5">
        <f>F113+J113+N113+R113+V113+Z113+AD113+AH113+AL113+AP113+AT113+AX113</f>
        <v>394524.1955268567</v>
      </c>
      <c r="BC113" s="13"/>
    </row>
    <row r="114" spans="1:55" ht="12.75">
      <c r="A114" s="25"/>
      <c r="B114" s="25"/>
      <c r="C114" s="25" t="s">
        <v>126</v>
      </c>
      <c r="D114" s="80">
        <f>'Allianz Suisse'!D116</f>
        <v>44596.445999999996</v>
      </c>
      <c r="E114" s="3">
        <f>SUM(D$112:D$114)</f>
        <v>220986.392</v>
      </c>
      <c r="F114" s="5">
        <f>'Allianz Suisse'!F116</f>
        <v>3066.96</v>
      </c>
      <c r="G114" s="81">
        <f>SUM(F$112:F$114)</f>
        <v>25987.729</v>
      </c>
      <c r="H114" s="5">
        <f>Basler!D116</f>
        <v>81065.748</v>
      </c>
      <c r="I114" s="3">
        <f>SUM(H$112:H$114)</f>
        <v>420066.15</v>
      </c>
      <c r="J114" s="5">
        <f>Basler!F116</f>
        <v>15102.749899999999</v>
      </c>
      <c r="K114" s="3">
        <f>SUM(J$112:J$114)</f>
        <v>118376.83489999999</v>
      </c>
      <c r="L114" s="80">
        <f>Generali!D116</f>
        <v>2600.94423</v>
      </c>
      <c r="M114" s="3">
        <f>SUM(L$112:L$114)</f>
        <v>15313.821097907028</v>
      </c>
      <c r="N114" s="5">
        <f>Generali!F116</f>
        <v>0</v>
      </c>
      <c r="O114" s="81">
        <f>SUM(N$112:N$114)</f>
        <v>132.80559999999997</v>
      </c>
      <c r="P114" s="5">
        <f>Helvetia!D116</f>
        <v>54506.8309454385</v>
      </c>
      <c r="Q114" s="3">
        <f>SUM(P$112:P$114)</f>
        <v>399101.95536306326</v>
      </c>
      <c r="R114" s="5">
        <f>Helvetia!F116</f>
        <v>22998.706104561505</v>
      </c>
      <c r="S114" s="3">
        <f>SUM(R$112:R$114)</f>
        <v>90060.57347672721</v>
      </c>
      <c r="T114" s="80">
        <f>Mobiliar!D116</f>
        <v>12313.3018639059</v>
      </c>
      <c r="U114" s="3">
        <f>SUM(T$112:T$114)</f>
        <v>101566.96847497123</v>
      </c>
      <c r="V114" s="5">
        <f>Mobiliar!F116</f>
        <v>15891.398136094102</v>
      </c>
      <c r="W114" s="81">
        <f>SUM(V$112:V$114)</f>
        <v>83606.35314802876</v>
      </c>
      <c r="X114" s="5">
        <f>Nationale!D116</f>
        <v>11764</v>
      </c>
      <c r="Y114" s="3">
        <f>SUM(X$112:X$114)</f>
        <v>61659</v>
      </c>
      <c r="Z114" s="5">
        <f>Nationale!F116</f>
        <v>0</v>
      </c>
      <c r="AA114" s="3">
        <f>SUM(Z$112:Z$114)</f>
        <v>4561</v>
      </c>
      <c r="AB114" s="80">
        <f>Pax!D116</f>
        <v>23860.387</v>
      </c>
      <c r="AC114" s="3">
        <f>SUM(AB$112:AB$114)</f>
        <v>101956.54225</v>
      </c>
      <c r="AD114" s="5">
        <f>Pax!F116</f>
        <v>0</v>
      </c>
      <c r="AE114" s="81">
        <f>SUM(AD$112:AD$114)</f>
        <v>0</v>
      </c>
      <c r="AF114" s="5">
        <f>Phenix!D116</f>
        <v>1522</v>
      </c>
      <c r="AG114" s="3">
        <f>SUM(AF$112:AF$114)</f>
        <v>6479</v>
      </c>
      <c r="AH114" s="5">
        <f>Phenix!F116</f>
        <v>0</v>
      </c>
      <c r="AI114" s="3">
        <f>SUM(AH$112:AH$114)</f>
        <v>0</v>
      </c>
      <c r="AJ114" s="80">
        <f>Rentenanstalt!D116</f>
        <v>274057.19500550005</v>
      </c>
      <c r="AK114" s="3">
        <f>SUM(AJ$112:AJ$114)</f>
        <v>1672394.2027142858</v>
      </c>
      <c r="AL114" s="5">
        <f>Rentenanstalt!F116</f>
        <v>37203.6040845</v>
      </c>
      <c r="AM114" s="81">
        <f>SUM(AL$112:AL$114)</f>
        <v>380541.81065571425</v>
      </c>
      <c r="AN114" s="5">
        <f>Winterthur!D116</f>
        <v>167674</v>
      </c>
      <c r="AO114" s="3">
        <f>SUM(AN$112:AN$114)</f>
        <v>1501647</v>
      </c>
      <c r="AP114" s="5">
        <f>Winterthur!F116</f>
        <v>30324</v>
      </c>
      <c r="AQ114" s="3">
        <f>SUM(AP$112:AP$114)</f>
        <v>138944</v>
      </c>
      <c r="AR114" s="80">
        <f>Zenith!D116</f>
        <v>1330</v>
      </c>
      <c r="AS114" s="3">
        <f>SUM(AR$112:AR$114)</f>
        <v>5175.668036942367</v>
      </c>
      <c r="AT114" s="5">
        <f>Zenith!F116</f>
        <v>0</v>
      </c>
      <c r="AU114" s="81">
        <f>SUM(AT$112:AT$114)</f>
        <v>0</v>
      </c>
      <c r="AV114" s="5">
        <f>Zuerich!D116</f>
        <v>164727</v>
      </c>
      <c r="AW114" s="3">
        <f>SUM(AV$112:AV$114)</f>
        <v>466710.8193382205</v>
      </c>
      <c r="AX114" s="5">
        <f>Zuerich!F116</f>
        <v>6665</v>
      </c>
      <c r="AY114" s="3">
        <f>SUM(AX$112:AX$114)</f>
        <v>67223.27762077955</v>
      </c>
      <c r="AZ114" s="80">
        <f>D114+H114+L114+P114+T114+X114+AB114+AF114+AJ114+AN114+AR114+AV114</f>
        <v>840017.8530448445</v>
      </c>
      <c r="BA114" s="3">
        <f>SUM(AZ$112:AZ$114)</f>
        <v>4973057.51927539</v>
      </c>
      <c r="BB114" s="5">
        <f>F114+J114+N114+R114+V114+Z114+AD114+AH114+AL114+AP114+AT114+AX114</f>
        <v>131252.41822515562</v>
      </c>
      <c r="BC114" s="81">
        <f>SUM(BB$112:BB$114)</f>
        <v>909434.3844012497</v>
      </c>
    </row>
    <row r="115" spans="1:55" ht="14.25">
      <c r="A115" s="25"/>
      <c r="B115" s="51" t="s">
        <v>136</v>
      </c>
      <c r="C115" s="25"/>
      <c r="D115" s="33"/>
      <c r="E115" s="3">
        <f>E$110-E$114</f>
        <v>144124.032</v>
      </c>
      <c r="F115" s="15"/>
      <c r="G115" s="81">
        <f>G$110-G$114</f>
        <v>16303.602999999996</v>
      </c>
      <c r="H115" s="15"/>
      <c r="I115" s="3">
        <f>I$110-I$114</f>
        <v>158173.07900000003</v>
      </c>
      <c r="J115" s="15"/>
      <c r="K115" s="3">
        <f>K$110-K$114</f>
        <v>63634.837100000004</v>
      </c>
      <c r="L115" s="33"/>
      <c r="M115" s="3">
        <f>M$110-M$114</f>
        <v>-806.6417900000324</v>
      </c>
      <c r="N115" s="15"/>
      <c r="O115" s="81">
        <f>O$110-O$114</f>
        <v>-132.80559999999997</v>
      </c>
      <c r="P115" s="15"/>
      <c r="Q115" s="3">
        <f>Q$110-Q$114</f>
        <v>98070.92537194293</v>
      </c>
      <c r="R115" s="15"/>
      <c r="S115" s="3">
        <f>S$110-S$114</f>
        <v>76708.23044562206</v>
      </c>
      <c r="T115" s="33"/>
      <c r="U115" s="3">
        <f>U$110-U$114</f>
        <v>65600.52752502875</v>
      </c>
      <c r="V115" s="15"/>
      <c r="W115" s="81">
        <f>W$110-W$114</f>
        <v>115636.82985197126</v>
      </c>
      <c r="X115" s="15"/>
      <c r="Y115" s="3">
        <f>Y$110-Y$114</f>
        <v>12321</v>
      </c>
      <c r="Z115" s="15"/>
      <c r="AA115" s="3">
        <f>AA$110-AA$114</f>
        <v>9673</v>
      </c>
      <c r="AB115" s="33"/>
      <c r="AC115" s="3">
        <f>AC$110-AC$114</f>
        <v>51158.30875</v>
      </c>
      <c r="AD115" s="15"/>
      <c r="AE115" s="81">
        <f>AE$110-AE$114</f>
        <v>78</v>
      </c>
      <c r="AF115" s="15"/>
      <c r="AG115" s="3">
        <f>AG$110-AG$114</f>
        <v>-41</v>
      </c>
      <c r="AH115" s="15"/>
      <c r="AI115" s="3">
        <f>AI$110-AI$114</f>
        <v>0</v>
      </c>
      <c r="AJ115" s="33"/>
      <c r="AK115" s="3">
        <f>AK$110-AK$114</f>
        <v>392486.7117857144</v>
      </c>
      <c r="AL115" s="15"/>
      <c r="AM115" s="81">
        <f>AM$110-AM$114</f>
        <v>137132.00671428576</v>
      </c>
      <c r="AN115" s="15"/>
      <c r="AO115" s="3">
        <f>AO$110-AO$114</f>
        <v>542983</v>
      </c>
      <c r="AP115" s="15"/>
      <c r="AQ115" s="3">
        <f>AQ$110-AQ$114</f>
        <v>73730</v>
      </c>
      <c r="AR115" s="33"/>
      <c r="AS115" s="3">
        <f>AS$110-AS$114</f>
        <v>-2795.360836942367</v>
      </c>
      <c r="AT115" s="15"/>
      <c r="AU115" s="81">
        <f>AU$110-AU$114</f>
        <v>0</v>
      </c>
      <c r="AV115" s="15"/>
      <c r="AW115" s="3">
        <f>AW$110-AW$114</f>
        <v>152719.89690300112</v>
      </c>
      <c r="AX115" s="15"/>
      <c r="AY115" s="3">
        <f>AY$110-AY$114</f>
        <v>73877.50680799881</v>
      </c>
      <c r="AZ115" s="34"/>
      <c r="BA115" s="3">
        <f>BA$110-BA$114</f>
        <v>1613994.478708746</v>
      </c>
      <c r="BB115" s="6"/>
      <c r="BC115" s="81">
        <f>BC$110-BC$114</f>
        <v>566641.208319878</v>
      </c>
    </row>
    <row r="116" spans="1:55" ht="12.75">
      <c r="A116" s="25"/>
      <c r="B116" s="50" t="s">
        <v>127</v>
      </c>
      <c r="C116" s="25"/>
      <c r="D116" s="33"/>
      <c r="E116" s="15"/>
      <c r="F116" s="15"/>
      <c r="G116" s="12"/>
      <c r="H116" s="15"/>
      <c r="I116" s="15"/>
      <c r="J116" s="15"/>
      <c r="K116" s="15"/>
      <c r="L116" s="33"/>
      <c r="M116" s="15"/>
      <c r="N116" s="15"/>
      <c r="O116" s="12"/>
      <c r="P116" s="15"/>
      <c r="Q116" s="15"/>
      <c r="R116" s="15"/>
      <c r="S116" s="15"/>
      <c r="T116" s="33"/>
      <c r="U116" s="15"/>
      <c r="V116" s="15"/>
      <c r="W116" s="12"/>
      <c r="X116" s="15"/>
      <c r="Y116" s="15"/>
      <c r="Z116" s="15"/>
      <c r="AA116" s="15"/>
      <c r="AB116" s="33"/>
      <c r="AC116" s="15"/>
      <c r="AD116" s="15"/>
      <c r="AE116" s="12"/>
      <c r="AF116" s="15"/>
      <c r="AG116" s="15"/>
      <c r="AH116" s="15"/>
      <c r="AI116" s="15"/>
      <c r="AJ116" s="33"/>
      <c r="AK116" s="15"/>
      <c r="AL116" s="15"/>
      <c r="AM116" s="12"/>
      <c r="AN116" s="15"/>
      <c r="AO116" s="15"/>
      <c r="AP116" s="15"/>
      <c r="AQ116" s="15"/>
      <c r="AR116" s="33"/>
      <c r="AS116" s="15"/>
      <c r="AT116" s="15"/>
      <c r="AU116" s="12"/>
      <c r="AV116" s="15"/>
      <c r="AW116" s="15"/>
      <c r="AX116" s="15"/>
      <c r="AY116" s="15"/>
      <c r="AZ116" s="34"/>
      <c r="BA116" s="6"/>
      <c r="BB116" s="6"/>
      <c r="BC116" s="13"/>
    </row>
    <row r="117" spans="1:55" ht="12.75">
      <c r="A117" s="25"/>
      <c r="B117" s="25"/>
      <c r="C117" s="25" t="s">
        <v>128</v>
      </c>
      <c r="D117" s="80">
        <f>'Allianz Suisse'!D119</f>
        <v>0</v>
      </c>
      <c r="E117" s="15"/>
      <c r="F117" s="5">
        <f>'Allianz Suisse'!F119</f>
        <v>0</v>
      </c>
      <c r="G117" s="12"/>
      <c r="H117" s="5">
        <f>Basler!D119</f>
        <v>5630</v>
      </c>
      <c r="I117" s="15"/>
      <c r="J117" s="5">
        <f>Basler!F119</f>
        <v>2700</v>
      </c>
      <c r="K117" s="15"/>
      <c r="L117" s="80">
        <f>Generali!D119</f>
        <v>0</v>
      </c>
      <c r="M117" s="15"/>
      <c r="N117" s="5">
        <f>Generali!F119</f>
        <v>0</v>
      </c>
      <c r="O117" s="12"/>
      <c r="P117" s="5">
        <f>Helvetia!D119</f>
        <v>6000</v>
      </c>
      <c r="Q117" s="15"/>
      <c r="R117" s="5">
        <f>Helvetia!F119</f>
        <v>-1400</v>
      </c>
      <c r="S117" s="15"/>
      <c r="T117" s="80">
        <f>Mobiliar!D119</f>
        <v>5883.716747634622</v>
      </c>
      <c r="U117" s="15"/>
      <c r="V117" s="5">
        <f>Mobiliar!F119</f>
        <v>-9580.918570634625</v>
      </c>
      <c r="W117" s="12"/>
      <c r="X117" s="5">
        <f>Nationale!D119</f>
        <v>0</v>
      </c>
      <c r="Y117" s="15"/>
      <c r="Z117" s="5">
        <f>Nationale!F119</f>
        <v>2000</v>
      </c>
      <c r="AA117" s="15"/>
      <c r="AB117" s="80">
        <f>Pax!D119</f>
        <v>0</v>
      </c>
      <c r="AC117" s="15"/>
      <c r="AD117" s="5">
        <f>Pax!F119</f>
        <v>0</v>
      </c>
      <c r="AE117" s="12"/>
      <c r="AF117" s="5">
        <f>Phenix!D119</f>
        <v>0</v>
      </c>
      <c r="AG117" s="15"/>
      <c r="AH117" s="5">
        <f>Phenix!F119</f>
        <v>0</v>
      </c>
      <c r="AI117" s="15"/>
      <c r="AJ117" s="80">
        <f>Rentenanstalt!D119</f>
        <v>14892.735</v>
      </c>
      <c r="AK117" s="15"/>
      <c r="AL117" s="5">
        <f>Rentenanstalt!F119</f>
        <v>-21183.735</v>
      </c>
      <c r="AM117" s="12"/>
      <c r="AN117" s="5">
        <f>Winterthur!D119</f>
        <v>50000</v>
      </c>
      <c r="AO117" s="15"/>
      <c r="AP117" s="5">
        <f>Winterthur!F119</f>
        <v>0</v>
      </c>
      <c r="AQ117" s="15"/>
      <c r="AR117" s="80">
        <f>Zenith!D119</f>
        <v>0</v>
      </c>
      <c r="AS117" s="15"/>
      <c r="AT117" s="5">
        <f>Zenith!F119</f>
        <v>0</v>
      </c>
      <c r="AU117" s="12"/>
      <c r="AV117" s="5">
        <f>Zuerich!D119</f>
        <v>-20865.693818516094</v>
      </c>
      <c r="AW117" s="15"/>
      <c r="AX117" s="5">
        <f>Zuerich!F119</f>
        <v>154.91322423095255</v>
      </c>
      <c r="AY117" s="15"/>
      <c r="AZ117" s="80">
        <f aca="true" t="shared" si="1" ref="AZ117:AZ124">D117+H117+L117+P117+T117+X117+AB117+AF117+AJ117+AN117+AR117+AV117</f>
        <v>61540.757929118525</v>
      </c>
      <c r="BA117" s="6"/>
      <c r="BB117" s="5">
        <f aca="true" t="shared" si="2" ref="BB117:BB124">F117+J117+N117+R117+V117+Z117+AD117+AH117+AL117+AP117+AT117+AX117</f>
        <v>-27309.740346403672</v>
      </c>
      <c r="BC117" s="13"/>
    </row>
    <row r="118" spans="1:55" ht="12.75">
      <c r="A118" s="25"/>
      <c r="B118" s="25"/>
      <c r="C118" s="25" t="s">
        <v>129</v>
      </c>
      <c r="D118" s="80">
        <f>'Allianz Suisse'!D120</f>
        <v>0</v>
      </c>
      <c r="E118" s="15"/>
      <c r="F118" s="5">
        <f>'Allianz Suisse'!F120</f>
        <v>0</v>
      </c>
      <c r="G118" s="12"/>
      <c r="H118" s="5">
        <f>Basler!D120</f>
        <v>60670</v>
      </c>
      <c r="I118" s="15"/>
      <c r="J118" s="5">
        <f>Basler!F120</f>
        <v>-2700</v>
      </c>
      <c r="K118" s="15"/>
      <c r="L118" s="80">
        <f>Generali!D120</f>
        <v>197.66851999999955</v>
      </c>
      <c r="M118" s="15"/>
      <c r="N118" s="5">
        <f>Generali!F120</f>
        <v>0</v>
      </c>
      <c r="O118" s="12"/>
      <c r="P118" s="5">
        <f>Helvetia!D120</f>
        <v>2900</v>
      </c>
      <c r="Q118" s="15"/>
      <c r="R118" s="5">
        <f>Helvetia!F120</f>
        <v>0</v>
      </c>
      <c r="S118" s="15"/>
      <c r="T118" s="80">
        <f>Mobiliar!D120</f>
        <v>0</v>
      </c>
      <c r="U118" s="15"/>
      <c r="V118" s="5">
        <f>Mobiliar!F120</f>
        <v>0</v>
      </c>
      <c r="W118" s="12"/>
      <c r="X118" s="5">
        <f>Nationale!D120</f>
        <v>0</v>
      </c>
      <c r="Y118" s="15"/>
      <c r="Z118" s="5">
        <f>Nationale!F120</f>
        <v>0</v>
      </c>
      <c r="AA118" s="15"/>
      <c r="AB118" s="80">
        <f>Pax!D120</f>
        <v>16600</v>
      </c>
      <c r="AC118" s="15"/>
      <c r="AD118" s="5">
        <f>Pax!F120</f>
        <v>0</v>
      </c>
      <c r="AE118" s="12"/>
      <c r="AF118" s="5">
        <f>Phenix!D120</f>
        <v>56</v>
      </c>
      <c r="AG118" s="15"/>
      <c r="AH118" s="5">
        <f>Phenix!F120</f>
        <v>0</v>
      </c>
      <c r="AI118" s="15"/>
      <c r="AJ118" s="80">
        <f>Rentenanstalt!D120</f>
        <v>1449.236</v>
      </c>
      <c r="AK118" s="15"/>
      <c r="AL118" s="5">
        <f>Rentenanstalt!F120</f>
        <v>-1621.236</v>
      </c>
      <c r="AM118" s="12"/>
      <c r="AN118" s="5">
        <f>Winterthur!D120</f>
        <v>20000</v>
      </c>
      <c r="AO118" s="15"/>
      <c r="AP118" s="5">
        <f>Winterthur!F120</f>
        <v>0</v>
      </c>
      <c r="AQ118" s="15"/>
      <c r="AR118" s="80">
        <f>Zenith!D120</f>
        <v>0</v>
      </c>
      <c r="AS118" s="15"/>
      <c r="AT118" s="5">
        <f>Zenith!F120</f>
        <v>0</v>
      </c>
      <c r="AU118" s="12"/>
      <c r="AV118" s="5">
        <f>Zuerich!D120</f>
        <v>-20780.43248723539</v>
      </c>
      <c r="AW118" s="15"/>
      <c r="AX118" s="5">
        <f>Zuerich!F120</f>
        <v>-606.8739256719921</v>
      </c>
      <c r="AY118" s="15"/>
      <c r="AZ118" s="80">
        <f t="shared" si="1"/>
        <v>81092.47203276462</v>
      </c>
      <c r="BA118" s="6"/>
      <c r="BB118" s="5">
        <f t="shared" si="2"/>
        <v>-4928.109925671992</v>
      </c>
      <c r="BC118" s="13"/>
    </row>
    <row r="119" spans="1:55" ht="12.75">
      <c r="A119" s="25"/>
      <c r="B119" s="25"/>
      <c r="C119" s="25" t="s">
        <v>130</v>
      </c>
      <c r="D119" s="80">
        <f>'Allianz Suisse'!D121</f>
        <v>886.302</v>
      </c>
      <c r="E119" s="15"/>
      <c r="F119" s="5">
        <f>'Allianz Suisse'!F121</f>
        <v>0</v>
      </c>
      <c r="G119" s="12"/>
      <c r="H119" s="5">
        <f>Basler!D121</f>
        <v>0</v>
      </c>
      <c r="I119" s="15"/>
      <c r="J119" s="5">
        <f>Basler!F121</f>
        <v>0</v>
      </c>
      <c r="K119" s="15"/>
      <c r="L119" s="80">
        <f>Generali!D121</f>
        <v>-721.5570000000012</v>
      </c>
      <c r="M119" s="15"/>
      <c r="N119" s="5">
        <f>Generali!F121</f>
        <v>0</v>
      </c>
      <c r="O119" s="12"/>
      <c r="P119" s="5">
        <f>Helvetia!D121</f>
        <v>-500</v>
      </c>
      <c r="Q119" s="15"/>
      <c r="R119" s="5">
        <f>Helvetia!F121</f>
        <v>-700</v>
      </c>
      <c r="S119" s="15"/>
      <c r="T119" s="80">
        <f>Mobiliar!D121</f>
        <v>-8</v>
      </c>
      <c r="U119" s="15"/>
      <c r="V119" s="5">
        <f>Mobiliar!F121</f>
        <v>-42</v>
      </c>
      <c r="W119" s="12"/>
      <c r="X119" s="5">
        <f>Nationale!D121</f>
        <v>0</v>
      </c>
      <c r="Y119" s="15"/>
      <c r="Z119" s="5">
        <f>Nationale!F121</f>
        <v>0</v>
      </c>
      <c r="AA119" s="15"/>
      <c r="AB119" s="80">
        <f>Pax!D121</f>
        <v>0</v>
      </c>
      <c r="AC119" s="15"/>
      <c r="AD119" s="5">
        <f>Pax!F121</f>
        <v>0</v>
      </c>
      <c r="AE119" s="12"/>
      <c r="AF119" s="5">
        <f>Phenix!D121</f>
        <v>0</v>
      </c>
      <c r="AG119" s="15"/>
      <c r="AH119" s="5">
        <f>Phenix!F121</f>
        <v>0</v>
      </c>
      <c r="AI119" s="15"/>
      <c r="AJ119" s="80">
        <f>Rentenanstalt!D121</f>
        <v>-17165.976</v>
      </c>
      <c r="AK119" s="15"/>
      <c r="AL119" s="5">
        <f>Rentenanstalt!F121</f>
        <v>-2434.024</v>
      </c>
      <c r="AM119" s="12"/>
      <c r="AN119" s="5">
        <f>Winterthur!D121</f>
        <v>148544</v>
      </c>
      <c r="AO119" s="15"/>
      <c r="AP119" s="5">
        <f>Winterthur!F121</f>
        <v>0</v>
      </c>
      <c r="AQ119" s="15"/>
      <c r="AR119" s="80">
        <f>Zenith!D121</f>
        <v>0</v>
      </c>
      <c r="AS119" s="15"/>
      <c r="AT119" s="5">
        <f>Zenith!F121</f>
        <v>0</v>
      </c>
      <c r="AU119" s="12"/>
      <c r="AV119" s="5">
        <f>Zuerich!D121</f>
        <v>1493.3817644926644</v>
      </c>
      <c r="AW119" s="15"/>
      <c r="AX119" s="5">
        <f>Zuerich!F121</f>
        <v>74.28400420734472</v>
      </c>
      <c r="AY119" s="15"/>
      <c r="AZ119" s="80">
        <f t="shared" si="1"/>
        <v>132528.15076449266</v>
      </c>
      <c r="BA119" s="6"/>
      <c r="BB119" s="5">
        <f t="shared" si="2"/>
        <v>-3101.739995792655</v>
      </c>
      <c r="BC119" s="13"/>
    </row>
    <row r="120" spans="1:55" ht="12.75">
      <c r="A120" s="25"/>
      <c r="B120" s="25"/>
      <c r="C120" s="25" t="s">
        <v>131</v>
      </c>
      <c r="D120" s="80">
        <f>'Allianz Suisse'!D122</f>
        <v>0</v>
      </c>
      <c r="E120" s="15"/>
      <c r="F120" s="5">
        <f>'Allianz Suisse'!F122</f>
        <v>0</v>
      </c>
      <c r="G120" s="12"/>
      <c r="H120" s="5">
        <f>Basler!D122</f>
        <v>15000</v>
      </c>
      <c r="I120" s="15"/>
      <c r="J120" s="5">
        <f>Basler!F122</f>
        <v>-15000</v>
      </c>
      <c r="K120" s="15"/>
      <c r="L120" s="80">
        <f>Generali!D122</f>
        <v>0</v>
      </c>
      <c r="M120" s="15"/>
      <c r="N120" s="5">
        <f>Generali!F122</f>
        <v>0</v>
      </c>
      <c r="O120" s="12"/>
      <c r="P120" s="5">
        <f>Helvetia!D122</f>
        <v>0</v>
      </c>
      <c r="Q120" s="15"/>
      <c r="R120" s="5">
        <f>Helvetia!F122</f>
        <v>0</v>
      </c>
      <c r="S120" s="15"/>
      <c r="T120" s="80">
        <f>Mobiliar!D122</f>
        <v>2728</v>
      </c>
      <c r="U120" s="15"/>
      <c r="V120" s="5">
        <f>Mobiliar!F122</f>
        <v>3020</v>
      </c>
      <c r="W120" s="12"/>
      <c r="X120" s="5">
        <f>Nationale!D122</f>
        <v>0</v>
      </c>
      <c r="Y120" s="15"/>
      <c r="Z120" s="5">
        <f>Nationale!F122</f>
        <v>3000</v>
      </c>
      <c r="AA120" s="15"/>
      <c r="AB120" s="80">
        <f>Pax!D122</f>
        <v>11962.35</v>
      </c>
      <c r="AC120" s="15"/>
      <c r="AD120" s="5">
        <f>Pax!F122</f>
        <v>0</v>
      </c>
      <c r="AE120" s="12"/>
      <c r="AF120" s="5">
        <f>Phenix!D122</f>
        <v>27</v>
      </c>
      <c r="AG120" s="15"/>
      <c r="AH120" s="5">
        <f>Phenix!F122</f>
        <v>0</v>
      </c>
      <c r="AI120" s="15"/>
      <c r="AJ120" s="80">
        <f>Rentenanstalt!D122</f>
        <v>-280571.08</v>
      </c>
      <c r="AK120" s="15"/>
      <c r="AL120" s="5">
        <f>Rentenanstalt!F122</f>
        <v>-48829.789</v>
      </c>
      <c r="AM120" s="12"/>
      <c r="AN120" s="5">
        <f>Winterthur!D122</f>
        <v>-67171</v>
      </c>
      <c r="AO120" s="15"/>
      <c r="AP120" s="5">
        <f>Winterthur!F122</f>
        <v>0</v>
      </c>
      <c r="AQ120" s="15"/>
      <c r="AR120" s="80">
        <f>Zenith!D122</f>
        <v>0</v>
      </c>
      <c r="AS120" s="15"/>
      <c r="AT120" s="5">
        <f>Zenith!F122</f>
        <v>0</v>
      </c>
      <c r="AU120" s="12"/>
      <c r="AV120" s="5">
        <f>Zuerich!D122</f>
        <v>-8980.797899215617</v>
      </c>
      <c r="AW120" s="15"/>
      <c r="AX120" s="5">
        <f>Zuerich!F122</f>
        <v>-1014.2241272166817</v>
      </c>
      <c r="AY120" s="15"/>
      <c r="AZ120" s="80">
        <f t="shared" si="1"/>
        <v>-327005.5278992156</v>
      </c>
      <c r="BA120" s="6"/>
      <c r="BB120" s="5">
        <f t="shared" si="2"/>
        <v>-58824.01312721668</v>
      </c>
      <c r="BC120" s="13"/>
    </row>
    <row r="121" spans="1:55" ht="12.75">
      <c r="A121" s="25"/>
      <c r="B121" s="25"/>
      <c r="C121" s="25" t="s">
        <v>132</v>
      </c>
      <c r="D121" s="80">
        <f>'Allianz Suisse'!D123</f>
        <v>50</v>
      </c>
      <c r="E121" s="15"/>
      <c r="F121" s="5">
        <f>'Allianz Suisse'!F123</f>
        <v>143.368</v>
      </c>
      <c r="G121" s="12"/>
      <c r="H121" s="5">
        <f>Basler!D123</f>
        <v>0</v>
      </c>
      <c r="I121" s="15"/>
      <c r="J121" s="5">
        <f>Basler!F123</f>
        <v>0</v>
      </c>
      <c r="K121" s="15"/>
      <c r="L121" s="80">
        <f>Generali!D123</f>
        <v>0</v>
      </c>
      <c r="M121" s="15"/>
      <c r="N121" s="5">
        <f>Generali!F123</f>
        <v>0</v>
      </c>
      <c r="O121" s="12"/>
      <c r="P121" s="5">
        <f>Helvetia!D123</f>
        <v>0</v>
      </c>
      <c r="Q121" s="15"/>
      <c r="R121" s="5">
        <f>Helvetia!F123</f>
        <v>0</v>
      </c>
      <c r="S121" s="15"/>
      <c r="T121" s="80">
        <f>Mobiliar!D123</f>
        <v>5686</v>
      </c>
      <c r="U121" s="15"/>
      <c r="V121" s="5">
        <f>Mobiliar!F123</f>
        <v>30000</v>
      </c>
      <c r="W121" s="12"/>
      <c r="X121" s="5">
        <f>Nationale!D123</f>
        <v>0</v>
      </c>
      <c r="Y121" s="15"/>
      <c r="Z121" s="5">
        <f>Nationale!F123</f>
        <v>0</v>
      </c>
      <c r="AA121" s="15"/>
      <c r="AB121" s="80">
        <f>Pax!D123</f>
        <v>0</v>
      </c>
      <c r="AC121" s="15"/>
      <c r="AD121" s="5">
        <f>Pax!F123</f>
        <v>0</v>
      </c>
      <c r="AE121" s="12"/>
      <c r="AF121" s="5">
        <f>Phenix!D123</f>
        <v>0</v>
      </c>
      <c r="AG121" s="15"/>
      <c r="AH121" s="5">
        <f>Phenix!F123</f>
        <v>0</v>
      </c>
      <c r="AI121" s="15"/>
      <c r="AJ121" s="80">
        <f>Rentenanstalt!D123</f>
        <v>196507.491</v>
      </c>
      <c r="AK121" s="15"/>
      <c r="AL121" s="5">
        <f>Rentenanstalt!F123</f>
        <v>45353.933</v>
      </c>
      <c r="AM121" s="12"/>
      <c r="AN121" s="5">
        <f>Winterthur!D123</f>
        <v>0</v>
      </c>
      <c r="AO121" s="15"/>
      <c r="AP121" s="5">
        <f>Winterthur!F123</f>
        <v>0</v>
      </c>
      <c r="AQ121" s="15"/>
      <c r="AR121" s="80">
        <f>Zenith!D123</f>
        <v>880</v>
      </c>
      <c r="AS121" s="15"/>
      <c r="AT121" s="5">
        <f>Zenith!F123</f>
        <v>0</v>
      </c>
      <c r="AU121" s="12"/>
      <c r="AV121" s="5">
        <f>Zuerich!D123</f>
        <v>0</v>
      </c>
      <c r="AW121" s="15"/>
      <c r="AX121" s="5">
        <f>Zuerich!F123</f>
        <v>0</v>
      </c>
      <c r="AY121" s="15"/>
      <c r="AZ121" s="80">
        <f t="shared" si="1"/>
        <v>203123.491</v>
      </c>
      <c r="BA121" s="6"/>
      <c r="BB121" s="5">
        <f t="shared" si="2"/>
        <v>75497.30099999999</v>
      </c>
      <c r="BC121" s="13"/>
    </row>
    <row r="122" spans="1:55" ht="12.75">
      <c r="A122" s="25"/>
      <c r="B122" s="25"/>
      <c r="C122" s="25" t="s">
        <v>133</v>
      </c>
      <c r="D122" s="80">
        <f>'Allianz Suisse'!D124</f>
        <v>67000</v>
      </c>
      <c r="E122" s="15"/>
      <c r="F122" s="5">
        <f>'Allianz Suisse'!F124</f>
        <v>6000</v>
      </c>
      <c r="G122" s="12"/>
      <c r="H122" s="5">
        <f>Basler!D124</f>
        <v>0</v>
      </c>
      <c r="I122" s="15"/>
      <c r="J122" s="5">
        <f>Basler!F124</f>
        <v>20000</v>
      </c>
      <c r="K122" s="15"/>
      <c r="L122" s="80">
        <f>Generali!D124</f>
        <v>0</v>
      </c>
      <c r="M122" s="15"/>
      <c r="N122" s="5">
        <f>Generali!F124</f>
        <v>0</v>
      </c>
      <c r="O122" s="12"/>
      <c r="P122" s="5">
        <f>Helvetia!D124</f>
        <v>0</v>
      </c>
      <c r="Q122" s="15"/>
      <c r="R122" s="5">
        <f>Helvetia!F124</f>
        <v>0</v>
      </c>
      <c r="S122" s="15"/>
      <c r="T122" s="80">
        <f>Mobiliar!D124</f>
        <v>0</v>
      </c>
      <c r="U122" s="15"/>
      <c r="V122" s="5">
        <f>Mobiliar!F124</f>
        <v>0</v>
      </c>
      <c r="W122" s="12"/>
      <c r="X122" s="5">
        <f>Nationale!D124</f>
        <v>3355</v>
      </c>
      <c r="Y122" s="15"/>
      <c r="Z122" s="5">
        <f>Nationale!F124</f>
        <v>4645</v>
      </c>
      <c r="AA122" s="15"/>
      <c r="AB122" s="80">
        <f>Pax!D124</f>
        <v>0</v>
      </c>
      <c r="AC122" s="15"/>
      <c r="AD122" s="5">
        <f>Pax!F124</f>
        <v>0</v>
      </c>
      <c r="AE122" s="12"/>
      <c r="AF122" s="5">
        <f>Phenix!D124</f>
        <v>0</v>
      </c>
      <c r="AG122" s="15"/>
      <c r="AH122" s="5">
        <f>Phenix!F124</f>
        <v>0</v>
      </c>
      <c r="AI122" s="15"/>
      <c r="AJ122" s="80">
        <f>Rentenanstalt!D124</f>
        <v>0</v>
      </c>
      <c r="AK122" s="15"/>
      <c r="AL122" s="5">
        <f>Rentenanstalt!F124</f>
        <v>0</v>
      </c>
      <c r="AM122" s="12"/>
      <c r="AN122" s="5">
        <f>Winterthur!D124</f>
        <v>0</v>
      </c>
      <c r="AO122" s="15"/>
      <c r="AP122" s="5">
        <f>Winterthur!F124</f>
        <v>0</v>
      </c>
      <c r="AQ122" s="15"/>
      <c r="AR122" s="80">
        <f>Zenith!D124</f>
        <v>0</v>
      </c>
      <c r="AS122" s="15"/>
      <c r="AT122" s="5">
        <f>Zenith!F124</f>
        <v>0</v>
      </c>
      <c r="AU122" s="12"/>
      <c r="AV122" s="5">
        <f>Zuerich!D124</f>
        <v>0</v>
      </c>
      <c r="AW122" s="15"/>
      <c r="AX122" s="5">
        <f>Zuerich!F124</f>
        <v>0</v>
      </c>
      <c r="AY122" s="15"/>
      <c r="AZ122" s="80">
        <f t="shared" si="1"/>
        <v>70355</v>
      </c>
      <c r="BA122" s="6"/>
      <c r="BB122" s="5">
        <f t="shared" si="2"/>
        <v>30645</v>
      </c>
      <c r="BC122" s="13"/>
    </row>
    <row r="123" spans="1:55" ht="12.75">
      <c r="A123" s="25"/>
      <c r="B123" s="25"/>
      <c r="C123" s="25" t="s">
        <v>134</v>
      </c>
      <c r="D123" s="80">
        <f>'Allianz Suisse'!D125</f>
        <v>0</v>
      </c>
      <c r="E123" s="15"/>
      <c r="F123" s="5">
        <f>'Allianz Suisse'!F125</f>
        <v>0</v>
      </c>
      <c r="G123" s="12"/>
      <c r="H123" s="5">
        <f>Basler!D125</f>
        <v>0</v>
      </c>
      <c r="I123" s="15"/>
      <c r="J123" s="5">
        <f>Basler!F125</f>
        <v>0</v>
      </c>
      <c r="K123" s="15"/>
      <c r="L123" s="80">
        <f>Generali!D125</f>
        <v>0</v>
      </c>
      <c r="M123" s="15"/>
      <c r="N123" s="5">
        <f>Generali!F125</f>
        <v>0</v>
      </c>
      <c r="O123" s="12"/>
      <c r="P123" s="5">
        <f>Helvetia!D125</f>
        <v>0</v>
      </c>
      <c r="Q123" s="15"/>
      <c r="R123" s="5">
        <f>Helvetia!F125</f>
        <v>0</v>
      </c>
      <c r="S123" s="15"/>
      <c r="T123" s="80">
        <f>Mobiliar!D125</f>
        <v>0</v>
      </c>
      <c r="U123" s="15"/>
      <c r="V123" s="5">
        <f>Mobiliar!F125</f>
        <v>0</v>
      </c>
      <c r="W123" s="12"/>
      <c r="X123" s="5">
        <f>Nationale!D125</f>
        <v>0</v>
      </c>
      <c r="Y123" s="15"/>
      <c r="Z123" s="5">
        <f>Nationale!F125</f>
        <v>0</v>
      </c>
      <c r="AA123" s="15"/>
      <c r="AB123" s="80">
        <f>Pax!D125</f>
        <v>0</v>
      </c>
      <c r="AC123" s="15"/>
      <c r="AD123" s="5">
        <f>Pax!F125</f>
        <v>0</v>
      </c>
      <c r="AE123" s="12"/>
      <c r="AF123" s="5">
        <f>Phenix!D125</f>
        <v>0</v>
      </c>
      <c r="AG123" s="15"/>
      <c r="AH123" s="5">
        <f>Phenix!F125</f>
        <v>0</v>
      </c>
      <c r="AI123" s="15"/>
      <c r="AJ123" s="80">
        <f>Rentenanstalt!D125</f>
        <v>0</v>
      </c>
      <c r="AK123" s="15"/>
      <c r="AL123" s="5">
        <f>Rentenanstalt!F125</f>
        <v>0</v>
      </c>
      <c r="AM123" s="12"/>
      <c r="AN123" s="5">
        <f>Winterthur!D125</f>
        <v>0</v>
      </c>
      <c r="AO123" s="15"/>
      <c r="AP123" s="5">
        <f>Winterthur!F125</f>
        <v>0</v>
      </c>
      <c r="AQ123" s="15"/>
      <c r="AR123" s="80">
        <f>Zenith!D125</f>
        <v>2441</v>
      </c>
      <c r="AS123" s="15"/>
      <c r="AT123" s="5">
        <f>Zenith!F125</f>
        <v>0</v>
      </c>
      <c r="AU123" s="12"/>
      <c r="AV123" s="5">
        <f>Zuerich!D125</f>
        <v>0</v>
      </c>
      <c r="AW123" s="15"/>
      <c r="AX123" s="5">
        <f>Zuerich!F125</f>
        <v>0</v>
      </c>
      <c r="AY123" s="15"/>
      <c r="AZ123" s="80">
        <f t="shared" si="1"/>
        <v>2441</v>
      </c>
      <c r="BA123" s="6"/>
      <c r="BB123" s="5">
        <f t="shared" si="2"/>
        <v>0</v>
      </c>
      <c r="BC123" s="13"/>
    </row>
    <row r="124" spans="1:55" ht="12.75">
      <c r="A124" s="25"/>
      <c r="B124" s="25"/>
      <c r="C124" s="25" t="s">
        <v>135</v>
      </c>
      <c r="D124" s="80">
        <f>'Allianz Suisse'!D126</f>
        <v>0</v>
      </c>
      <c r="E124" s="3">
        <f>SUM(D$117:D$124)</f>
        <v>67936.302</v>
      </c>
      <c r="F124" s="5">
        <f>'Allianz Suisse'!F126</f>
        <v>0</v>
      </c>
      <c r="G124" s="81">
        <f>SUM(F$117:F$124)</f>
        <v>6143.368</v>
      </c>
      <c r="H124" s="5">
        <f>Basler!D126</f>
        <v>0</v>
      </c>
      <c r="I124" s="3">
        <f>SUM(H$117:H$124)</f>
        <v>81300</v>
      </c>
      <c r="J124" s="5">
        <f>Basler!F126</f>
        <v>0</v>
      </c>
      <c r="K124" s="3">
        <f>SUM(J$117:J$124)</f>
        <v>5000</v>
      </c>
      <c r="L124" s="80">
        <f>Generali!D126</f>
        <v>0</v>
      </c>
      <c r="M124" s="3">
        <f>SUM(L$117:L$124)</f>
        <v>-523.8884800000017</v>
      </c>
      <c r="N124" s="5">
        <f>Generali!F126</f>
        <v>0</v>
      </c>
      <c r="O124" s="81">
        <f>SUM(N$117:N$124)</f>
        <v>0</v>
      </c>
      <c r="P124" s="5">
        <f>Helvetia!D126</f>
        <v>0</v>
      </c>
      <c r="Q124" s="3">
        <f>SUM(P$117:P$124)</f>
        <v>8400</v>
      </c>
      <c r="R124" s="5">
        <f>Helvetia!F126</f>
        <v>0</v>
      </c>
      <c r="S124" s="3">
        <f>SUM(R$117:R$124)</f>
        <v>-2100</v>
      </c>
      <c r="T124" s="80">
        <f>Mobiliar!D126</f>
        <v>0</v>
      </c>
      <c r="U124" s="3">
        <f>SUM(T$117:T$124)</f>
        <v>14289.716747634622</v>
      </c>
      <c r="V124" s="5">
        <f>Mobiliar!F126</f>
        <v>0</v>
      </c>
      <c r="W124" s="81">
        <f>SUM(V$117:V$124)</f>
        <v>23397.081429365375</v>
      </c>
      <c r="X124" s="5">
        <f>Nationale!D126</f>
        <v>0</v>
      </c>
      <c r="Y124" s="3">
        <f>SUM(X$117:X$124)</f>
        <v>3355</v>
      </c>
      <c r="Z124" s="5">
        <f>Nationale!F126</f>
        <v>0</v>
      </c>
      <c r="AA124" s="3">
        <f>SUM(Z$117:Z$124)</f>
        <v>9645</v>
      </c>
      <c r="AB124" s="80">
        <f>Pax!D126</f>
        <v>0</v>
      </c>
      <c r="AC124" s="3">
        <f>SUM(AB$117:AB$124)</f>
        <v>28562.35</v>
      </c>
      <c r="AD124" s="5">
        <f>Pax!F126</f>
        <v>0</v>
      </c>
      <c r="AE124" s="81">
        <f>SUM(AD$117:AD$124)</f>
        <v>0</v>
      </c>
      <c r="AF124" s="5">
        <f>Phenix!D126</f>
        <v>0</v>
      </c>
      <c r="AG124" s="3">
        <f>SUM(AF$117:AF$124)</f>
        <v>83</v>
      </c>
      <c r="AH124" s="5">
        <f>Phenix!F126</f>
        <v>0</v>
      </c>
      <c r="AI124" s="3">
        <f>SUM(AH$117:AH$124)</f>
        <v>0</v>
      </c>
      <c r="AJ124" s="80">
        <f>Rentenanstalt!D126</f>
        <v>0</v>
      </c>
      <c r="AK124" s="3">
        <f>SUM(AJ$117:AJ$124)</f>
        <v>-84887.59400000001</v>
      </c>
      <c r="AL124" s="5">
        <f>Rentenanstalt!F126</f>
        <v>0</v>
      </c>
      <c r="AM124" s="81">
        <f>SUM(AL$117:AL$124)</f>
        <v>-28714.851000000002</v>
      </c>
      <c r="AN124" s="5">
        <f>Winterthur!D126</f>
        <v>0</v>
      </c>
      <c r="AO124" s="3">
        <f>SUM(AN$117:AN$124)</f>
        <v>151373</v>
      </c>
      <c r="AP124" s="5">
        <f>Winterthur!F126</f>
        <v>0</v>
      </c>
      <c r="AQ124" s="3">
        <f>SUM(AP$117:AP$124)</f>
        <v>0</v>
      </c>
      <c r="AR124" s="80">
        <f>Zenith!D126</f>
        <v>-5482</v>
      </c>
      <c r="AS124" s="3">
        <f>SUM(AR$117:AR$124)</f>
        <v>-2161</v>
      </c>
      <c r="AT124" s="5">
        <f>Zenith!F126</f>
        <v>0</v>
      </c>
      <c r="AU124" s="81">
        <f>SUM(AT$117:AT$124)</f>
        <v>0</v>
      </c>
      <c r="AV124" s="5">
        <f>Zuerich!D126</f>
        <v>0</v>
      </c>
      <c r="AW124" s="3">
        <f>SUM(AV$117:AV$124)</f>
        <v>-49133.54244047444</v>
      </c>
      <c r="AX124" s="5">
        <f>Zuerich!F126</f>
        <v>0</v>
      </c>
      <c r="AY124" s="3">
        <f>SUM(AX$117:AX$124)</f>
        <v>-1391.9008244503766</v>
      </c>
      <c r="AZ124" s="80">
        <f t="shared" si="1"/>
        <v>-5482</v>
      </c>
      <c r="BA124" s="3">
        <f>SUM(AZ$117:AZ$124)</f>
        <v>218593.34382716028</v>
      </c>
      <c r="BB124" s="5">
        <f t="shared" si="2"/>
        <v>0</v>
      </c>
      <c r="BC124" s="81">
        <f>SUM(BB$117:BB$124)</f>
        <v>11978.697604914996</v>
      </c>
    </row>
    <row r="125" spans="1:55" ht="12.75">
      <c r="A125" s="25"/>
      <c r="B125" s="25" t="s">
        <v>58</v>
      </c>
      <c r="C125" s="25"/>
      <c r="D125" s="33"/>
      <c r="E125" s="85">
        <f>'Allianz Suisse'!E127</f>
        <v>0</v>
      </c>
      <c r="F125" s="15"/>
      <c r="G125" s="12"/>
      <c r="H125" s="15"/>
      <c r="I125" s="84">
        <f>Basler!E127</f>
        <v>0</v>
      </c>
      <c r="J125" s="15"/>
      <c r="K125" s="15"/>
      <c r="L125" s="33"/>
      <c r="M125" s="85">
        <f>Generali!E127</f>
        <v>0</v>
      </c>
      <c r="N125" s="15"/>
      <c r="O125" s="12"/>
      <c r="P125" s="15"/>
      <c r="Q125" s="84">
        <f>Helvetia!E127</f>
        <v>0</v>
      </c>
      <c r="R125" s="15"/>
      <c r="S125" s="15"/>
      <c r="T125" s="33"/>
      <c r="U125" s="85">
        <f>Mobiliar!E127</f>
        <v>0</v>
      </c>
      <c r="V125" s="15"/>
      <c r="W125" s="12"/>
      <c r="X125" s="15"/>
      <c r="Y125" s="85">
        <f>Nationale!E127</f>
        <v>0</v>
      </c>
      <c r="Z125" s="15"/>
      <c r="AA125" s="15"/>
      <c r="AB125" s="33"/>
      <c r="AC125" s="84">
        <f>Pax!E127</f>
        <v>0</v>
      </c>
      <c r="AD125" s="15"/>
      <c r="AE125" s="12"/>
      <c r="AF125" s="15"/>
      <c r="AG125" s="85">
        <f>Phenix!E127</f>
        <v>0</v>
      </c>
      <c r="AH125" s="15"/>
      <c r="AI125" s="15"/>
      <c r="AJ125" s="33"/>
      <c r="AK125" s="85">
        <f>Rentenanstalt!E127</f>
        <v>0</v>
      </c>
      <c r="AL125" s="15"/>
      <c r="AM125" s="12"/>
      <c r="AN125" s="15"/>
      <c r="AO125" s="84">
        <f>Winterthur!E127</f>
        <v>0</v>
      </c>
      <c r="AP125" s="15"/>
      <c r="AQ125" s="15"/>
      <c r="AR125" s="33"/>
      <c r="AS125" s="85">
        <f>Zenith!E127</f>
        <v>0</v>
      </c>
      <c r="AT125" s="15"/>
      <c r="AU125" s="12"/>
      <c r="AV125" s="15"/>
      <c r="AW125" s="84">
        <f>Zuerich!E127</f>
        <v>0</v>
      </c>
      <c r="AX125" s="15"/>
      <c r="AY125" s="15"/>
      <c r="AZ125" s="34"/>
      <c r="BA125" s="3">
        <f>E125+I125+M125+Q125+U125+Y125+AC125+AG125+AK125+AO125+AS125+AW125</f>
        <v>0</v>
      </c>
      <c r="BB125" s="6"/>
      <c r="BC125" s="13"/>
    </row>
    <row r="126" spans="1:55" ht="13.5" thickBot="1">
      <c r="A126" s="25"/>
      <c r="B126" s="25" t="s">
        <v>59</v>
      </c>
      <c r="C126" s="25"/>
      <c r="D126" s="33"/>
      <c r="E126" s="88">
        <f>'Allianz Suisse'!E128</f>
        <v>39677</v>
      </c>
      <c r="F126" s="15"/>
      <c r="G126" s="87">
        <f>'Allianz Suisse'!G128</f>
        <v>5954.987</v>
      </c>
      <c r="H126" s="15"/>
      <c r="I126" s="90">
        <f>Basler!E128</f>
        <v>30614</v>
      </c>
      <c r="J126" s="15"/>
      <c r="K126" s="55">
        <f>Basler!G128</f>
        <v>44076</v>
      </c>
      <c r="L126" s="33"/>
      <c r="M126" s="88">
        <f>Generali!E128</f>
        <v>0</v>
      </c>
      <c r="N126" s="15"/>
      <c r="O126" s="87">
        <f>Generali!G128</f>
        <v>0</v>
      </c>
      <c r="P126" s="15"/>
      <c r="Q126" s="90">
        <f>Helvetia!E128</f>
        <v>49247</v>
      </c>
      <c r="R126" s="15"/>
      <c r="S126" s="55">
        <f>Helvetia!G128</f>
        <v>61469.740110423074</v>
      </c>
      <c r="T126" s="33"/>
      <c r="U126" s="88">
        <f>Mobiliar!E128</f>
        <v>44000</v>
      </c>
      <c r="V126" s="15"/>
      <c r="W126" s="87">
        <f>Mobiliar!G128</f>
        <v>61246</v>
      </c>
      <c r="X126" s="15"/>
      <c r="Y126" s="88">
        <f>Nationale!E128</f>
        <v>3048</v>
      </c>
      <c r="Z126" s="15"/>
      <c r="AA126" s="94">
        <f>Nationale!G128</f>
        <v>1410.9148100000002</v>
      </c>
      <c r="AB126" s="33"/>
      <c r="AC126" s="90">
        <f>Pax!E128</f>
        <v>10000</v>
      </c>
      <c r="AD126" s="15"/>
      <c r="AE126" s="82">
        <f>Pax!G128</f>
        <v>0</v>
      </c>
      <c r="AF126" s="15"/>
      <c r="AG126" s="88">
        <f>Phenix!E128</f>
        <v>0</v>
      </c>
      <c r="AH126" s="15"/>
      <c r="AI126" s="88">
        <f>Phenix!G128</f>
        <v>0</v>
      </c>
      <c r="AJ126" s="33"/>
      <c r="AK126" s="88">
        <f>Rentenanstalt!E128</f>
        <v>302149</v>
      </c>
      <c r="AL126" s="15"/>
      <c r="AM126" s="92">
        <f>Rentenanstalt!G128</f>
        <v>129066</v>
      </c>
      <c r="AN126" s="15"/>
      <c r="AO126" s="90">
        <f>Winterthur!E128</f>
        <v>217816</v>
      </c>
      <c r="AP126" s="15"/>
      <c r="AQ126" s="55">
        <f>Winterthur!G128</f>
        <v>75745</v>
      </c>
      <c r="AR126" s="33"/>
      <c r="AS126" s="88">
        <f>Zenith!E128</f>
        <v>0</v>
      </c>
      <c r="AT126" s="15"/>
      <c r="AU126" s="87">
        <f>Zenith!G128</f>
        <v>0</v>
      </c>
      <c r="AV126" s="15"/>
      <c r="AW126" s="90">
        <f>Zuerich!E128</f>
        <v>145815</v>
      </c>
      <c r="AX126" s="15"/>
      <c r="AY126" s="55">
        <f>Zuerich!G128</f>
        <v>35369</v>
      </c>
      <c r="AZ126" s="34"/>
      <c r="BA126" s="54">
        <f>E126+I126+M126+Q126+U126+Y126+AC126+AG126+AK126+AO126+AS126+AW126</f>
        <v>842366</v>
      </c>
      <c r="BB126" s="6"/>
      <c r="BC126" s="82">
        <f>G126+K126+O126+S126+W126+AA126+AE126+AI126+AM126+AQ126+AU126+AY126</f>
        <v>414337.6419204231</v>
      </c>
    </row>
    <row r="127" spans="1:55" ht="13.5" thickBot="1">
      <c r="A127" s="25"/>
      <c r="B127" s="25" t="s">
        <v>12</v>
      </c>
      <c r="C127" s="25"/>
      <c r="D127" s="33"/>
      <c r="E127" s="55">
        <f>E$115-SUM(E$124:E$126)</f>
        <v>36510.73000000001</v>
      </c>
      <c r="F127" s="15"/>
      <c r="G127" s="82">
        <f>G$115-G$124-G$126</f>
        <v>4205.247999999995</v>
      </c>
      <c r="H127" s="15"/>
      <c r="I127" s="55">
        <f>I$115-SUM(I$124:I$126)</f>
        <v>46259.07900000003</v>
      </c>
      <c r="J127" s="15"/>
      <c r="K127" s="55">
        <f>K$115-K$124-K$126</f>
        <v>14558.837100000004</v>
      </c>
      <c r="L127" s="33"/>
      <c r="M127" s="55">
        <f>M$115-SUM(M$124:M$126)</f>
        <v>-282.75331000003075</v>
      </c>
      <c r="N127" s="15"/>
      <c r="O127" s="82">
        <f>O$115-O$124-O$126</f>
        <v>-132.80559999999997</v>
      </c>
      <c r="P127" s="15"/>
      <c r="Q127" s="55">
        <f>Q$115-SUM(Q$124:Q$126)</f>
        <v>40423.925371942925</v>
      </c>
      <c r="R127" s="15"/>
      <c r="S127" s="55">
        <f>S$115-S$124-S$126</f>
        <v>17338.490335198985</v>
      </c>
      <c r="T127" s="33"/>
      <c r="U127" s="55">
        <f>U$115-SUM(U$124:U$126)</f>
        <v>7310.81077739413</v>
      </c>
      <c r="V127" s="15"/>
      <c r="W127" s="82">
        <f>W$115-W$124-W$126</f>
        <v>30993.748422605888</v>
      </c>
      <c r="X127" s="15"/>
      <c r="Y127" s="55">
        <f>Y$115-SUM(Y$124:Y$126)</f>
        <v>5918</v>
      </c>
      <c r="Z127" s="15"/>
      <c r="AA127" s="55">
        <f>AA$115-AA$124-AA$126</f>
        <v>-1382.9148100000002</v>
      </c>
      <c r="AB127" s="33"/>
      <c r="AC127" s="55">
        <f>AC$115-SUM(AC$124:AC$126)</f>
        <v>12595.958749999998</v>
      </c>
      <c r="AD127" s="15"/>
      <c r="AE127" s="82">
        <f>AE$115-AE$124-AE$126</f>
        <v>78</v>
      </c>
      <c r="AF127" s="15"/>
      <c r="AG127" s="55">
        <f>AG$115-SUM(AG$124:AG$126)</f>
        <v>-124</v>
      </c>
      <c r="AH127" s="15"/>
      <c r="AI127" s="55">
        <f>AI$115-AI$124-AI$126</f>
        <v>0</v>
      </c>
      <c r="AJ127" s="33"/>
      <c r="AK127" s="55">
        <f>AK$115-SUM(AK$124:AK$126)</f>
        <v>175225.3057857144</v>
      </c>
      <c r="AL127" s="15"/>
      <c r="AM127" s="82">
        <f>AM$115-AM$124-AM$126</f>
        <v>36780.857714285754</v>
      </c>
      <c r="AN127" s="15"/>
      <c r="AO127" s="55">
        <f>AO$115-SUM(AO$124:AO$126)</f>
        <v>173794</v>
      </c>
      <c r="AP127" s="15"/>
      <c r="AQ127" s="55">
        <f>AQ$115-AQ$124-AQ$126</f>
        <v>-2015</v>
      </c>
      <c r="AR127" s="33"/>
      <c r="AS127" s="55">
        <f>AS$115-SUM(AS$124:AS$126)</f>
        <v>-634.3608369423669</v>
      </c>
      <c r="AT127" s="15"/>
      <c r="AU127" s="82">
        <f>AU$115-AU$124-AU$126</f>
        <v>0</v>
      </c>
      <c r="AV127" s="15"/>
      <c r="AW127" s="55">
        <f>AW$115-SUM(AW$124:AW$126)</f>
        <v>56038.43934347556</v>
      </c>
      <c r="AX127" s="15"/>
      <c r="AY127" s="55">
        <f>AY$115-AY$124-AY$126</f>
        <v>39900.40763244919</v>
      </c>
      <c r="AZ127" s="34"/>
      <c r="BA127" s="55">
        <f>BA$115-SUM(BA$124:BA$126)</f>
        <v>553035.1348815856</v>
      </c>
      <c r="BB127" s="6"/>
      <c r="BC127" s="82">
        <f>BC$115-BC$124-BC$126</f>
        <v>140324.86879453989</v>
      </c>
    </row>
    <row r="128" spans="1:55" ht="12.75">
      <c r="A128" s="25"/>
      <c r="B128" s="25" t="s">
        <v>64</v>
      </c>
      <c r="C128" s="25"/>
      <c r="D128" s="33"/>
      <c r="E128" s="57">
        <f>IF(E$110&gt;0,MIN(MAX((E$114+E$124+E$125+E$126)/E$110,0.9),1),0)</f>
        <v>0.9000008556315555</v>
      </c>
      <c r="F128" s="15"/>
      <c r="G128" s="72">
        <f>IF(G$110&gt;0,MIN((G$114+G$124+G$126)/G$110,1),0)</f>
        <v>0.900564777671226</v>
      </c>
      <c r="H128" s="15"/>
      <c r="I128" s="57">
        <f>IF(I$110&gt;0,MIN(MAX((I$114+I$124+I$125+I$126)/I$110,0.9),1),0)</f>
        <v>0.9200001025872978</v>
      </c>
      <c r="J128" s="15"/>
      <c r="K128" s="57">
        <f>IF(K$110&gt;0,MIN((K$114+K$124+K$126)/K$110,1),0)</f>
        <v>0.9200115193711313</v>
      </c>
      <c r="L128" s="33"/>
      <c r="M128" s="57">
        <f>IF(M$110&gt;0,MIN(MAX((M$114+M$124+M$125+M$126)/M$110,0.9),1),0)</f>
        <v>1</v>
      </c>
      <c r="N128" s="15"/>
      <c r="O128" s="72">
        <f>IF(O$110&gt;0,MIN((O$114+O$124+O$126)/O$110,1),0)</f>
        <v>0</v>
      </c>
      <c r="P128" s="15"/>
      <c r="Q128" s="57">
        <f>IF(Q$110&gt;0,MIN(MAX((Q$114+Q$124+Q$125+Q$126)/Q$110,0.9),1),0)</f>
        <v>0.9186924167863272</v>
      </c>
      <c r="R128" s="15"/>
      <c r="S128" s="57">
        <f>IF(S$110&gt;0,MIN((S$114+S$124+S$126)/S$110,1),0)</f>
        <v>0.896032771553173</v>
      </c>
      <c r="T128" s="33"/>
      <c r="U128" s="57">
        <f>IF(U$110&gt;0,MIN(MAX((U$114+U$124+U$125+U$126)/U$110,0.9),1),0)</f>
        <v>0.9562665532933858</v>
      </c>
      <c r="V128" s="15"/>
      <c r="W128" s="72">
        <f>IF(W$110&gt;0,MIN((W$114+W$124+W$126)/W$110,1),0)</f>
        <v>0.8444426155217271</v>
      </c>
      <c r="X128" s="15"/>
      <c r="Y128" s="57">
        <f>IF(Y$110&gt;0,MIN(MAX((Y$114+Y$124+Y$125+Y$126)/Y$110,0.9),1),0)</f>
        <v>0.9200054068667207</v>
      </c>
      <c r="Z128" s="15"/>
      <c r="AA128" s="57">
        <f>IF(AA$110&gt;0,MIN((AA$114+AA$124+AA$126)/AA$110,1),0)</f>
        <v>1</v>
      </c>
      <c r="AB128" s="33"/>
      <c r="AC128" s="57">
        <f>IF(AC$110&gt;0,MIN(MAX((AC$114+AC$124+AC$125+AC$126)/AC$110,0.9),1),0)</f>
        <v>0.9177352251088956</v>
      </c>
      <c r="AD128" s="15"/>
      <c r="AE128" s="72">
        <f>IF(AE$110&gt;0,MIN((AE$114+AE$124+AE$126)/AE$110,1),0)</f>
        <v>0</v>
      </c>
      <c r="AF128" s="15"/>
      <c r="AG128" s="57">
        <f>IF(AG$110&gt;0,MIN(MAX((AG$114+AG$124+AG$125+AG$126)/AG$110,0.9),1),0)</f>
        <v>1</v>
      </c>
      <c r="AH128" s="15"/>
      <c r="AI128" s="57">
        <f>IF(AI$110&gt;0,MIN((AI$114+AI$124+AI$126)/AI$110,1),0)</f>
        <v>0</v>
      </c>
      <c r="AJ128" s="33"/>
      <c r="AK128" s="57">
        <f>IF(AK$110&gt;0,MIN(MAX((AK$114+AK$124+AK$125+AK$126)/AK$110,0.9),1),0)</f>
        <v>0.9151402366328983</v>
      </c>
      <c r="AL128" s="15"/>
      <c r="AM128" s="72">
        <f>IF(AM$110&gt;0,MIN((AM$114+AM$124+AM$126)/AM$110,1),0)</f>
        <v>0.9289497431004953</v>
      </c>
      <c r="AN128" s="15"/>
      <c r="AO128" s="57">
        <f>IF(AO$110&gt;0,MIN(MAX((AO$114+AO$124+AO$125+AO$126)/AO$110,0.9),1),0)</f>
        <v>0.9149997799112798</v>
      </c>
      <c r="AP128" s="15"/>
      <c r="AQ128" s="57">
        <f>IF(AQ$110&gt;0,MIN((AQ$114+AQ$124+AQ$126)/AQ$110,1),0)</f>
        <v>1</v>
      </c>
      <c r="AR128" s="33"/>
      <c r="AS128" s="57">
        <f>IF(AS$110&gt;0,MIN(MAX((AS$114+AS$124+AS$125+AS$126)/AS$110,0.9),1),0)</f>
        <v>1</v>
      </c>
      <c r="AT128" s="15"/>
      <c r="AU128" s="72">
        <f>IF(AU$110&gt;0,MIN((AU$114+AU$124+AU$126)/AU$110,1),0)</f>
        <v>0</v>
      </c>
      <c r="AV128" s="15"/>
      <c r="AW128" s="57">
        <f>IF(AW$110&gt;0,MIN(MAX((AW$114+AW$124+AW$125+AW$126)/AW$110,0.9),1),0)</f>
        <v>0.9095323530555227</v>
      </c>
      <c r="AX128" s="15"/>
      <c r="AY128" s="57">
        <f>IF(AY$110&gt;0,MIN((AY$114+AY$124+AY$126)/AY$110,1),0)</f>
        <v>0.7172205116082171</v>
      </c>
      <c r="AZ128" s="34"/>
      <c r="BA128" s="57">
        <f>IF(BA$110&gt;0,MIN(MAX((BA$114+BA$124+BA$125+BA$126)/BA$110,0.9),1),0)</f>
        <v>0.9160420875604393</v>
      </c>
      <c r="BB128" s="6"/>
      <c r="BC128" s="72">
        <f>IF(BC$110&gt;0,MIN((BC$114+BC$124+BC$126)/BC$110,1),0)</f>
        <v>0.9049338194557822</v>
      </c>
    </row>
    <row r="129" spans="1:55" ht="12.75">
      <c r="A129" s="25"/>
      <c r="C129" s="25"/>
      <c r="D129" s="33"/>
      <c r="E129" s="15"/>
      <c r="F129" s="15"/>
      <c r="G129" s="12"/>
      <c r="H129" s="15"/>
      <c r="I129" s="15"/>
      <c r="J129" s="15"/>
      <c r="K129" s="15"/>
      <c r="L129" s="33"/>
      <c r="M129" s="15"/>
      <c r="N129" s="15"/>
      <c r="O129" s="12"/>
      <c r="P129" s="15"/>
      <c r="Q129" s="15"/>
      <c r="R129" s="15"/>
      <c r="S129" s="15"/>
      <c r="T129" s="33"/>
      <c r="U129" s="15"/>
      <c r="V129" s="15"/>
      <c r="W129" s="12"/>
      <c r="X129" s="15"/>
      <c r="Y129" s="15"/>
      <c r="Z129" s="15"/>
      <c r="AA129" s="15"/>
      <c r="AB129" s="33"/>
      <c r="AC129" s="15"/>
      <c r="AD129" s="15"/>
      <c r="AE129" s="12"/>
      <c r="AF129" s="15"/>
      <c r="AG129" s="15"/>
      <c r="AH129" s="15"/>
      <c r="AI129" s="15"/>
      <c r="AJ129" s="33"/>
      <c r="AK129" s="15"/>
      <c r="AL129" s="15"/>
      <c r="AM129" s="12"/>
      <c r="AN129" s="15"/>
      <c r="AO129" s="15"/>
      <c r="AP129" s="15"/>
      <c r="AQ129" s="15"/>
      <c r="AR129" s="33"/>
      <c r="AS129" s="15"/>
      <c r="AT129" s="15"/>
      <c r="AU129" s="12"/>
      <c r="AV129" s="15"/>
      <c r="AW129" s="15"/>
      <c r="AX129" s="15"/>
      <c r="AY129" s="15"/>
      <c r="AZ129" s="34"/>
      <c r="BA129" s="6"/>
      <c r="BB129" s="6"/>
      <c r="BC129" s="13"/>
    </row>
    <row r="130" spans="1:55" ht="12.75">
      <c r="A130" s="25"/>
      <c r="B130" s="50" t="s">
        <v>60</v>
      </c>
      <c r="C130" s="25"/>
      <c r="D130" s="33"/>
      <c r="E130" s="15"/>
      <c r="F130" s="15" t="s">
        <v>141</v>
      </c>
      <c r="G130" s="12"/>
      <c r="H130" s="15"/>
      <c r="I130" s="15"/>
      <c r="J130" s="15" t="s">
        <v>141</v>
      </c>
      <c r="K130" s="15"/>
      <c r="L130" s="33"/>
      <c r="M130" s="15"/>
      <c r="N130" s="15" t="s">
        <v>141</v>
      </c>
      <c r="O130" s="12"/>
      <c r="P130" s="15"/>
      <c r="Q130" s="15"/>
      <c r="R130" s="15" t="s">
        <v>141</v>
      </c>
      <c r="S130" s="15"/>
      <c r="T130" s="33"/>
      <c r="U130" s="15"/>
      <c r="V130" s="15" t="s">
        <v>141</v>
      </c>
      <c r="W130" s="12"/>
      <c r="X130" s="15"/>
      <c r="Y130" s="15"/>
      <c r="Z130" s="15" t="s">
        <v>141</v>
      </c>
      <c r="AA130" s="15"/>
      <c r="AB130" s="33"/>
      <c r="AC130" s="15"/>
      <c r="AD130" s="15" t="s">
        <v>141</v>
      </c>
      <c r="AE130" s="12"/>
      <c r="AF130" s="15"/>
      <c r="AG130" s="15"/>
      <c r="AH130" s="15" t="s">
        <v>141</v>
      </c>
      <c r="AI130" s="15"/>
      <c r="AJ130" s="33"/>
      <c r="AK130" s="15"/>
      <c r="AL130" s="15" t="s">
        <v>141</v>
      </c>
      <c r="AM130" s="12"/>
      <c r="AN130" s="15"/>
      <c r="AO130" s="15"/>
      <c r="AP130" s="15" t="s">
        <v>141</v>
      </c>
      <c r="AQ130" s="15"/>
      <c r="AR130" s="33"/>
      <c r="AS130" s="15"/>
      <c r="AT130" s="15" t="s">
        <v>141</v>
      </c>
      <c r="AU130" s="12"/>
      <c r="AV130" s="15"/>
      <c r="AW130" s="15"/>
      <c r="AX130" s="15" t="s">
        <v>141</v>
      </c>
      <c r="AY130" s="15"/>
      <c r="AZ130" s="34"/>
      <c r="BA130" s="6"/>
      <c r="BB130" s="15" t="s">
        <v>141</v>
      </c>
      <c r="BC130" s="12"/>
    </row>
    <row r="131" spans="1:55" ht="12.75">
      <c r="A131" s="25"/>
      <c r="B131" s="25"/>
      <c r="C131" s="25" t="s">
        <v>61</v>
      </c>
      <c r="D131" s="33"/>
      <c r="E131" s="3">
        <f>E$127</f>
        <v>36510.73000000001</v>
      </c>
      <c r="F131" s="57">
        <f>IF(E$110&gt;0,E$131/E$110,0)</f>
        <v>0.09999914436844458</v>
      </c>
      <c r="G131" s="12"/>
      <c r="H131" s="15"/>
      <c r="I131" s="3">
        <f>I$127</f>
        <v>46259.07900000003</v>
      </c>
      <c r="J131" s="57">
        <f>IF(I$110&gt;0,I$131/I$110,0)</f>
        <v>0.07999989741270222</v>
      </c>
      <c r="K131" s="15"/>
      <c r="L131" s="33"/>
      <c r="M131" s="3">
        <f>M$127</f>
        <v>-282.75331000003075</v>
      </c>
      <c r="N131" s="57">
        <f>IF(M$110&gt;0,M$131/M$110,0)</f>
        <v>-0.019490578009601002</v>
      </c>
      <c r="O131" s="12"/>
      <c r="P131" s="15"/>
      <c r="Q131" s="3">
        <f>Q$127</f>
        <v>40423.925371942925</v>
      </c>
      <c r="R131" s="57">
        <f>IF(Q$110&gt;0,Q$131/Q$110,0)</f>
        <v>0.08130758321367278</v>
      </c>
      <c r="S131" s="15"/>
      <c r="T131" s="33"/>
      <c r="U131" s="3">
        <f>U$127</f>
        <v>7310.81077739413</v>
      </c>
      <c r="V131" s="57">
        <f>IF(U$110&gt;0,U$131/U$110,0)</f>
        <v>0.04373344670661413</v>
      </c>
      <c r="W131" s="12"/>
      <c r="X131" s="15"/>
      <c r="Y131" s="3">
        <f>Y$127</f>
        <v>5918</v>
      </c>
      <c r="Z131" s="57">
        <f>IF(Y$110&gt;0,Y$131/Y$110,0)</f>
        <v>0.07999459313327927</v>
      </c>
      <c r="AA131" s="15"/>
      <c r="AB131" s="33"/>
      <c r="AC131" s="3">
        <f>AC$127</f>
        <v>12595.958749999998</v>
      </c>
      <c r="AD131" s="57">
        <f>IF(AC$110&gt;0,AC$131/AC$110,0)</f>
        <v>0.08226477489110444</v>
      </c>
      <c r="AE131" s="12"/>
      <c r="AF131" s="15"/>
      <c r="AG131" s="3">
        <f>AG$127</f>
        <v>-124</v>
      </c>
      <c r="AH131" s="57">
        <f>IF(AG$110&gt;0,AG$131/AG$110,0)</f>
        <v>-0.019260639950295123</v>
      </c>
      <c r="AI131" s="15"/>
      <c r="AJ131" s="33"/>
      <c r="AK131" s="3">
        <f>AK$127</f>
        <v>175225.3057857144</v>
      </c>
      <c r="AL131" s="57">
        <f>IF(AK$110&gt;0,AK$131/AK$110,0)</f>
        <v>0.0848597633671016</v>
      </c>
      <c r="AM131" s="12"/>
      <c r="AN131" s="15"/>
      <c r="AO131" s="3">
        <f>AO$127</f>
        <v>173794</v>
      </c>
      <c r="AP131" s="57">
        <f>IF(AO$110&gt;0,AO$131/AO$110,0)</f>
        <v>0.08500022008872021</v>
      </c>
      <c r="AQ131" s="15"/>
      <c r="AR131" s="33"/>
      <c r="AS131" s="3">
        <f>AS$127</f>
        <v>-634.3608369423669</v>
      </c>
      <c r="AT131" s="57">
        <f>IF(AS$110&gt;0,AS$131/AS$110,0)</f>
        <v>-0.2665037676407343</v>
      </c>
      <c r="AU131" s="12"/>
      <c r="AV131" s="15"/>
      <c r="AW131" s="3">
        <f>AW$127</f>
        <v>56038.43934347556</v>
      </c>
      <c r="AX131" s="57">
        <f>IF(AW$110&gt;0,AW$131/AW$110,0)</f>
        <v>0.09046764694447733</v>
      </c>
      <c r="AY131" s="15"/>
      <c r="AZ131" s="34"/>
      <c r="BA131" s="3">
        <f>BA$127</f>
        <v>553035.1348815856</v>
      </c>
      <c r="BB131" s="57">
        <f>IF(BA$110&gt;0,BA$131/BA$110,0)</f>
        <v>0.08395791243956073</v>
      </c>
      <c r="BC131" s="13"/>
    </row>
    <row r="132" spans="1:55" ht="12.75">
      <c r="A132" s="25"/>
      <c r="B132" s="25"/>
      <c r="C132" s="25" t="s">
        <v>62</v>
      </c>
      <c r="D132" s="33"/>
      <c r="E132" s="3">
        <f>G$127</f>
        <v>4205.247999999995</v>
      </c>
      <c r="F132" s="57">
        <f>IF(G$110&gt;0,E$132/G$110,0)</f>
        <v>0.09943522232877403</v>
      </c>
      <c r="G132" s="12"/>
      <c r="H132" s="15"/>
      <c r="I132" s="3">
        <f>K$127</f>
        <v>14558.837100000004</v>
      </c>
      <c r="J132" s="57">
        <f>IF(K$110&gt;0,I$132/K$110,0)</f>
        <v>0.07998848062886871</v>
      </c>
      <c r="K132" s="15"/>
      <c r="L132" s="33"/>
      <c r="M132" s="3">
        <f>O$127</f>
        <v>-132.80559999999997</v>
      </c>
      <c r="N132" s="57">
        <f>IF(O$110&gt;0,M$132/O$110,0)</f>
        <v>0</v>
      </c>
      <c r="O132" s="12"/>
      <c r="P132" s="15"/>
      <c r="Q132" s="3">
        <f>S$127</f>
        <v>17338.490335198985</v>
      </c>
      <c r="R132" s="57">
        <f>IF(S$110&gt;0,Q$132/S$110,0)</f>
        <v>0.103967228446827</v>
      </c>
      <c r="S132" s="15"/>
      <c r="T132" s="33"/>
      <c r="U132" s="3">
        <f>W$127</f>
        <v>30993.748422605888</v>
      </c>
      <c r="V132" s="57">
        <f>IF(W$110&gt;0,U$132/W$110,0)</f>
        <v>0.1555573844782729</v>
      </c>
      <c r="W132" s="12"/>
      <c r="X132" s="15"/>
      <c r="Y132" s="3">
        <f>AA$127</f>
        <v>-1382.9148100000002</v>
      </c>
      <c r="Z132" s="57">
        <f>IF(AA$110&gt;0,Y$132/AA$110,0)</f>
        <v>-0.09715574048053957</v>
      </c>
      <c r="AA132" s="15"/>
      <c r="AB132" s="33"/>
      <c r="AC132" s="3">
        <f>AE$127</f>
        <v>78</v>
      </c>
      <c r="AD132" s="57">
        <f>IF(AE$110&gt;0,AC$132/AE$110,0)</f>
        <v>1</v>
      </c>
      <c r="AE132" s="12"/>
      <c r="AF132" s="15"/>
      <c r="AG132" s="3">
        <f>AI$127</f>
        <v>0</v>
      </c>
      <c r="AH132" s="57">
        <f>IF(AI$110&gt;0,AG$132/AI$110,0)</f>
        <v>0</v>
      </c>
      <c r="AI132" s="15"/>
      <c r="AJ132" s="33"/>
      <c r="AK132" s="3">
        <f>AM$127</f>
        <v>36780.857714285754</v>
      </c>
      <c r="AL132" s="57">
        <f>IF(AM$110&gt;0,AK$132/AM$110,0)</f>
        <v>0.07105025689950466</v>
      </c>
      <c r="AM132" s="12"/>
      <c r="AN132" s="15"/>
      <c r="AO132" s="3">
        <f>AQ$127</f>
        <v>-2015</v>
      </c>
      <c r="AP132" s="57">
        <f>IF(AQ$110&gt;0,AO$132/AQ$110,0)</f>
        <v>-0.009474594919924391</v>
      </c>
      <c r="AQ132" s="15"/>
      <c r="AR132" s="33"/>
      <c r="AS132" s="3">
        <f>AU$127</f>
        <v>0</v>
      </c>
      <c r="AT132" s="57">
        <f>IF(AU$110&gt;0,AS$132/AU$110,0)</f>
        <v>0</v>
      </c>
      <c r="AU132" s="12"/>
      <c r="AV132" s="15"/>
      <c r="AW132" s="3">
        <f>AY$127</f>
        <v>39900.40763244919</v>
      </c>
      <c r="AX132" s="57">
        <f>IF(AY$110&gt;0,AW$132/AY$110,0)</f>
        <v>0.2827794883917829</v>
      </c>
      <c r="AY132" s="15"/>
      <c r="AZ132" s="34"/>
      <c r="BA132" s="3">
        <f>BC$127</f>
        <v>140324.86879453989</v>
      </c>
      <c r="BB132" s="57">
        <f>IF(BC$110&gt;0,BA$132/BC$110,0)</f>
        <v>0.0950661805442177</v>
      </c>
      <c r="BC132" s="13"/>
    </row>
    <row r="133" spans="2:55" ht="13.5" thickBot="1">
      <c r="B133" s="25"/>
      <c r="C133" s="25" t="s">
        <v>87</v>
      </c>
      <c r="D133" s="35"/>
      <c r="E133" s="55">
        <f>SUM(E$131:E$132)</f>
        <v>40715.978</v>
      </c>
      <c r="F133" s="16"/>
      <c r="G133" s="14"/>
      <c r="H133" s="16"/>
      <c r="I133" s="55">
        <f>SUM(I$131:I$132)</f>
        <v>60817.91610000003</v>
      </c>
      <c r="J133" s="16"/>
      <c r="K133" s="16"/>
      <c r="L133" s="35"/>
      <c r="M133" s="55">
        <f>SUM(M$131:M$132)</f>
        <v>-415.5589100000307</v>
      </c>
      <c r="N133" s="16"/>
      <c r="O133" s="14"/>
      <c r="P133" s="16"/>
      <c r="Q133" s="55">
        <f>SUM(Q$131:Q$132)</f>
        <v>57762.41570714191</v>
      </c>
      <c r="R133" s="16"/>
      <c r="S133" s="16"/>
      <c r="T133" s="35"/>
      <c r="U133" s="55">
        <f>SUM(U$131:U$132)</f>
        <v>38304.55920000002</v>
      </c>
      <c r="V133" s="16"/>
      <c r="W133" s="14"/>
      <c r="X133" s="16"/>
      <c r="Y133" s="55">
        <f>SUM(Y$131:Y$132)</f>
        <v>4535.08519</v>
      </c>
      <c r="Z133" s="16"/>
      <c r="AA133" s="16"/>
      <c r="AB133" s="35"/>
      <c r="AC133" s="55">
        <f>SUM(AC$131:AC$132)</f>
        <v>12673.958749999998</v>
      </c>
      <c r="AD133" s="16"/>
      <c r="AE133" s="14"/>
      <c r="AF133" s="16"/>
      <c r="AG133" s="55">
        <f>SUM(AG$131:AG$132)</f>
        <v>-124</v>
      </c>
      <c r="AH133" s="16"/>
      <c r="AI133" s="16"/>
      <c r="AJ133" s="35"/>
      <c r="AK133" s="55">
        <f>SUM(AK$131:AK$132)</f>
        <v>212006.16350000014</v>
      </c>
      <c r="AL133" s="16"/>
      <c r="AM133" s="14"/>
      <c r="AN133" s="16"/>
      <c r="AO133" s="55">
        <f>SUM(AO$131:AO$132)</f>
        <v>171779</v>
      </c>
      <c r="AP133" s="16"/>
      <c r="AQ133" s="16"/>
      <c r="AR133" s="35"/>
      <c r="AS133" s="55">
        <f>SUM(AS$131:AS$132)</f>
        <v>-634.3608369423669</v>
      </c>
      <c r="AT133" s="16"/>
      <c r="AU133" s="14"/>
      <c r="AV133" s="16"/>
      <c r="AW133" s="55">
        <f>SUM(AW$131:AW$132)</f>
        <v>95938.84697592475</v>
      </c>
      <c r="AX133" s="16"/>
      <c r="AY133" s="16"/>
      <c r="AZ133" s="42"/>
      <c r="BA133" s="55">
        <f>SUM(BA$131:BA$132)</f>
        <v>693360.0036761255</v>
      </c>
      <c r="BB133" s="46"/>
      <c r="BC133" s="43"/>
    </row>
    <row r="135" spans="2:3" ht="12.75">
      <c r="B135" s="53" t="s">
        <v>137</v>
      </c>
      <c r="C135" s="52"/>
    </row>
  </sheetData>
  <sheetProtection/>
  <mergeCells count="39">
    <mergeCell ref="AZ107:BA107"/>
    <mergeCell ref="BB107:BC107"/>
    <mergeCell ref="AR107:AS107"/>
    <mergeCell ref="AT107:AU107"/>
    <mergeCell ref="AV107:AW107"/>
    <mergeCell ref="AX107:AY107"/>
    <mergeCell ref="AJ107:AK107"/>
    <mergeCell ref="AL107:AM107"/>
    <mergeCell ref="AN107:AO107"/>
    <mergeCell ref="AP107:AQ107"/>
    <mergeCell ref="AB107:AC107"/>
    <mergeCell ref="AD107:AE107"/>
    <mergeCell ref="AF107:AG107"/>
    <mergeCell ref="AH107:AI107"/>
    <mergeCell ref="T107:U107"/>
    <mergeCell ref="V107:W107"/>
    <mergeCell ref="X107:Y107"/>
    <mergeCell ref="Z107:AA107"/>
    <mergeCell ref="L107:M107"/>
    <mergeCell ref="N107:O107"/>
    <mergeCell ref="P107:Q107"/>
    <mergeCell ref="R107:S107"/>
    <mergeCell ref="D107:E107"/>
    <mergeCell ref="F107:G107"/>
    <mergeCell ref="H107:I107"/>
    <mergeCell ref="J107:K107"/>
    <mergeCell ref="AZ4:BC4"/>
    <mergeCell ref="P4:S4"/>
    <mergeCell ref="X4:AA4"/>
    <mergeCell ref="AF4:AI4"/>
    <mergeCell ref="T4:W4"/>
    <mergeCell ref="AJ4:AM4"/>
    <mergeCell ref="AN4:AQ4"/>
    <mergeCell ref="AR4:AU4"/>
    <mergeCell ref="AV4:AY4"/>
    <mergeCell ref="D4:G4"/>
    <mergeCell ref="L4:O4"/>
    <mergeCell ref="H4:K4"/>
    <mergeCell ref="AB4:AE4"/>
  </mergeCells>
  <conditionalFormatting sqref="E97 AS97 I97 M97 Q97 U97 Y97 AC97 AG97 AK97 AO97 AW97">
    <cfRule type="expression" priority="1" dxfId="0" stopIfTrue="1">
      <formula>IF(E$99="",0,1)</formula>
    </cfRule>
  </conditionalFormatting>
  <conditionalFormatting sqref="BA31:BA40 BB37:BB40 BC10:BC40 BA5:BC9 BC108:BC109 BB10:BB11 BA13:BB13 BB14:BB15 BA17:BA22 BB20:BB24 BA26:BB26 BB27:BB29 BA49:BC51 BB52:BC54 BA56:BA60 BB56:BB57 BA108:BA109 BB61 BA63:BA66 BB64:BB65 BB67 BB69 BA71:BA73 BB72:BB73 BA75:BB75 BA79:BB80 BA81:BA84 BB84 BA87:BB88 BA89:BA100 BB91:BB92 BB97:BB98 BB101 BB105:BB106 BB133 AZ111:BC111 BA112:BA113 BC112:BC113 AZ115:AZ116 BA116:BC116 BB115 BA117:BA123 BC117:BC123 AZ125:AZ133 BB125:BB129 BC125 BA129:BA130 BC129 BC131:BC133 BA103:BA106 BC55:BC106 AZ5:AZ106">
    <cfRule type="expression" priority="2" dxfId="3" stopIfTrue="1">
      <formula>IF(ISBLANK(AZ5),1,0)</formula>
    </cfRule>
  </conditionalFormatting>
  <printOptions/>
  <pageMargins left="0.17" right="0.17" top="1" bottom="1" header="0.4921259845" footer="0.4921259845"/>
  <pageSetup fitToHeight="2" fitToWidth="4" horizontalDpi="600" verticalDpi="600" orientation="landscape" paperSize="8" scale="63" r:id="rId1"/>
  <rowBreaks count="1" manualBreakCount="1">
    <brk id="72" max="54" man="1"/>
  </rowBreaks>
  <colBreaks count="2" manualBreakCount="2">
    <brk id="19" max="132" man="1"/>
    <brk id="47" max="1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tabColor indexed="1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47" t="s">
        <v>69</v>
      </c>
      <c r="B1" s="47"/>
      <c r="C1" s="25"/>
    </row>
    <row r="2" spans="1:3" ht="12.75">
      <c r="A2" s="25" t="s">
        <v>0</v>
      </c>
      <c r="B2" s="25"/>
      <c r="C2" s="25"/>
    </row>
    <row r="3" spans="1:3" ht="12.75">
      <c r="A3" s="48" t="s">
        <v>46</v>
      </c>
      <c r="B3" s="48"/>
      <c r="C3" s="25"/>
    </row>
    <row r="4" spans="1:3" ht="12.75">
      <c r="A4" s="25"/>
      <c r="B4" s="25"/>
      <c r="C4" s="25"/>
    </row>
    <row r="5" spans="1:3" ht="12.75">
      <c r="A5" s="25" t="s">
        <v>38</v>
      </c>
      <c r="B5" s="25"/>
      <c r="C5" s="25"/>
    </row>
    <row r="6" spans="1:3" ht="12.75">
      <c r="A6" s="25"/>
      <c r="B6" s="25"/>
      <c r="C6" s="25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</v>
      </c>
      <c r="F8" s="2" t="s">
        <v>2</v>
      </c>
      <c r="G8" s="2"/>
    </row>
    <row r="9" spans="1:3" ht="12.75">
      <c r="A9" s="48" t="s">
        <v>70</v>
      </c>
      <c r="B9" s="48"/>
      <c r="C9" s="25"/>
    </row>
    <row r="10" spans="1:6" ht="12.75">
      <c r="A10" s="48" t="s">
        <v>71</v>
      </c>
      <c r="B10" s="25"/>
      <c r="C10" s="25"/>
      <c r="E10" s="1"/>
      <c r="F10" s="1"/>
    </row>
    <row r="11" spans="1:3" ht="12.75">
      <c r="A11" s="25"/>
      <c r="B11" s="50" t="s">
        <v>75</v>
      </c>
      <c r="C11" s="25"/>
    </row>
    <row r="12" spans="1:6" ht="12.75">
      <c r="A12" s="25"/>
      <c r="B12" s="25"/>
      <c r="C12" s="25" t="s">
        <v>3</v>
      </c>
      <c r="E12" s="5">
        <f>$F$14-E$13-E$14</f>
        <v>874083.8520000001</v>
      </c>
      <c r="F12" s="1"/>
    </row>
    <row r="13" spans="1:6" ht="12.75">
      <c r="A13" s="25"/>
      <c r="B13" s="25"/>
      <c r="C13" s="25" t="s">
        <v>4</v>
      </c>
      <c r="E13" s="5">
        <v>140398.034</v>
      </c>
      <c r="F13" s="1"/>
    </row>
    <row r="14" spans="1:6" ht="12.75">
      <c r="A14" s="25"/>
      <c r="B14" s="25"/>
      <c r="C14" s="25" t="s">
        <v>5</v>
      </c>
      <c r="E14" s="5">
        <v>51007.721999999994</v>
      </c>
      <c r="F14" s="3">
        <v>1065489.608</v>
      </c>
    </row>
    <row r="15" spans="1:6" ht="12.75">
      <c r="A15" s="25"/>
      <c r="B15" s="50" t="s">
        <v>72</v>
      </c>
      <c r="C15" s="25"/>
      <c r="E15" s="1"/>
      <c r="F15" s="1"/>
    </row>
    <row r="16" spans="1:6" ht="12.75">
      <c r="A16" s="25"/>
      <c r="B16" s="25"/>
      <c r="C16" s="25" t="s">
        <v>72</v>
      </c>
      <c r="E16" s="5">
        <v>238736.75400000002</v>
      </c>
      <c r="F16" s="1"/>
    </row>
    <row r="17" spans="1:6" ht="12.75">
      <c r="A17" s="25"/>
      <c r="B17" s="25"/>
      <c r="C17" s="25" t="s">
        <v>73</v>
      </c>
      <c r="E17" s="5">
        <v>0</v>
      </c>
      <c r="F17" s="1"/>
    </row>
    <row r="18" spans="1:6" ht="12.75">
      <c r="A18" s="25"/>
      <c r="B18" s="25"/>
      <c r="C18" s="25" t="s">
        <v>74</v>
      </c>
      <c r="E18" s="5">
        <v>22740.754999999997</v>
      </c>
      <c r="F18" s="3">
        <f>$E$16-$E$17-$E$18</f>
        <v>215995.999</v>
      </c>
    </row>
    <row r="19" spans="1:6" ht="12.75">
      <c r="A19" s="25"/>
      <c r="B19" s="25" t="s">
        <v>76</v>
      </c>
      <c r="C19" s="25"/>
      <c r="F19" s="3">
        <v>8721.228</v>
      </c>
    </row>
    <row r="20" spans="1:6" ht="13.5" thickBot="1">
      <c r="A20" s="25"/>
      <c r="B20" s="25" t="s">
        <v>77</v>
      </c>
      <c r="C20" s="25"/>
      <c r="E20" s="6"/>
      <c r="F20" s="54">
        <v>-2047.2110000000014</v>
      </c>
    </row>
    <row r="21" spans="1:6" ht="13.5" thickBot="1">
      <c r="A21" s="25"/>
      <c r="B21" s="47" t="s">
        <v>78</v>
      </c>
      <c r="C21" s="25"/>
      <c r="E21" s="6"/>
      <c r="F21" s="55">
        <f>$F$14+$F$18+$F$19+$F$20</f>
        <v>1288159.624</v>
      </c>
    </row>
    <row r="22" spans="1:5" ht="12.75">
      <c r="A22" s="25"/>
      <c r="B22" s="25"/>
      <c r="C22" s="25"/>
      <c r="E22" s="6"/>
    </row>
    <row r="23" spans="1:6" ht="12.75">
      <c r="A23" s="48" t="s">
        <v>79</v>
      </c>
      <c r="B23" s="25"/>
      <c r="C23" s="25"/>
      <c r="E23" s="6"/>
      <c r="F23" s="1"/>
    </row>
    <row r="24" spans="1:6" ht="12.75">
      <c r="A24" s="25"/>
      <c r="B24" s="50" t="s">
        <v>6</v>
      </c>
      <c r="C24" s="25"/>
      <c r="E24" s="6"/>
      <c r="F24" s="1"/>
    </row>
    <row r="25" spans="1:6" ht="12.75">
      <c r="A25" s="25"/>
      <c r="B25" s="25"/>
      <c r="C25" s="25" t="s">
        <v>7</v>
      </c>
      <c r="E25" s="5">
        <v>218152.238</v>
      </c>
      <c r="F25" s="1"/>
    </row>
    <row r="26" spans="1:6" ht="12.75">
      <c r="A26" s="25"/>
      <c r="B26" s="25"/>
      <c r="C26" s="25" t="s">
        <v>8</v>
      </c>
      <c r="E26" s="5">
        <v>460018.392</v>
      </c>
      <c r="F26" s="1"/>
    </row>
    <row r="27" spans="1:6" ht="12.75">
      <c r="A27" s="25"/>
      <c r="B27" s="25"/>
      <c r="C27" s="25" t="s">
        <v>80</v>
      </c>
      <c r="E27" s="5">
        <v>164994.999</v>
      </c>
      <c r="F27" s="3">
        <f>$E$25+$E$26+$E$27</f>
        <v>843165.629</v>
      </c>
    </row>
    <row r="28" spans="1:5" ht="12.75">
      <c r="A28" s="25"/>
      <c r="B28" s="50" t="s">
        <v>81</v>
      </c>
      <c r="C28" s="25"/>
      <c r="E28" s="1"/>
    </row>
    <row r="29" spans="1:6" ht="12.75">
      <c r="A29" s="25"/>
      <c r="B29" s="25"/>
      <c r="C29" s="25" t="s">
        <v>82</v>
      </c>
      <c r="E29" s="5">
        <v>199857.13500000024</v>
      </c>
      <c r="F29" s="1"/>
    </row>
    <row r="30" spans="1:6" ht="12.75">
      <c r="A30" s="25"/>
      <c r="B30" s="25"/>
      <c r="C30" s="25" t="s">
        <v>83</v>
      </c>
      <c r="E30" s="5">
        <v>29486.111000000034</v>
      </c>
      <c r="F30" s="1"/>
    </row>
    <row r="31" spans="1:6" ht="12.75">
      <c r="A31" s="25"/>
      <c r="B31" s="25"/>
      <c r="C31" s="25" t="s">
        <v>84</v>
      </c>
      <c r="D31" s="1"/>
      <c r="E31" s="5">
        <v>-13872.342000000004</v>
      </c>
      <c r="F31" s="1"/>
    </row>
    <row r="32" spans="1:6" ht="12.75">
      <c r="A32" s="25"/>
      <c r="B32" s="25"/>
      <c r="C32" s="25" t="s">
        <v>85</v>
      </c>
      <c r="D32" s="1"/>
      <c r="E32" s="5">
        <f>$F$32-SUM($E$29:$E$31)</f>
        <v>4994.092999999732</v>
      </c>
      <c r="F32" s="3">
        <v>220464.997</v>
      </c>
    </row>
    <row r="33" spans="1:6" ht="12.75">
      <c r="A33" s="25"/>
      <c r="B33" s="50" t="s">
        <v>9</v>
      </c>
      <c r="C33" s="25"/>
      <c r="D33" s="1"/>
      <c r="E33" s="1"/>
      <c r="F33" s="3">
        <v>51879.588</v>
      </c>
    </row>
    <row r="34" spans="1:6" ht="12.75">
      <c r="A34" s="25"/>
      <c r="B34" s="25" t="s">
        <v>86</v>
      </c>
      <c r="C34" s="25"/>
      <c r="E34" s="1"/>
      <c r="F34" s="3">
        <v>86301.447</v>
      </c>
    </row>
    <row r="35" spans="1:6" ht="12.75">
      <c r="A35" s="25"/>
      <c r="B35" s="25" t="s">
        <v>10</v>
      </c>
      <c r="C35" s="25"/>
      <c r="E35" s="1"/>
      <c r="F35" s="3">
        <v>0</v>
      </c>
    </row>
    <row r="36" spans="1:6" ht="12.75">
      <c r="A36" s="25"/>
      <c r="B36" s="25" t="s">
        <v>11</v>
      </c>
      <c r="C36" s="25"/>
      <c r="F36" s="3">
        <v>45631.675</v>
      </c>
    </row>
    <row r="37" spans="1:6" ht="13.5" thickBot="1">
      <c r="A37" s="25"/>
      <c r="B37" s="25" t="s">
        <v>87</v>
      </c>
      <c r="C37" s="25"/>
      <c r="F37" s="54">
        <f>$F$38-($F$27+SUM($F$32:$F$36))</f>
        <v>40716.288000000175</v>
      </c>
    </row>
    <row r="38" spans="1:6" ht="13.5" thickBot="1">
      <c r="A38" s="25"/>
      <c r="B38" s="25" t="s">
        <v>88</v>
      </c>
      <c r="C38" s="25"/>
      <c r="F38" s="55">
        <f>$F$14+$F$18+$F$19+$F$20</f>
        <v>1288159.624</v>
      </c>
    </row>
    <row r="39" spans="1:3" ht="12.75">
      <c r="A39" s="25"/>
      <c r="B39" s="25"/>
      <c r="C39" s="25"/>
    </row>
    <row r="40" spans="1:6" ht="12.75">
      <c r="A40" s="48" t="s">
        <v>89</v>
      </c>
      <c r="B40" s="25"/>
      <c r="C40" s="25"/>
      <c r="E40" s="1"/>
      <c r="F40" s="1"/>
    </row>
    <row r="41" spans="1:6" ht="12.75">
      <c r="A41" s="48" t="s">
        <v>90</v>
      </c>
      <c r="B41" s="25"/>
      <c r="C41" s="25"/>
      <c r="E41" s="1"/>
      <c r="F41" s="1"/>
    </row>
    <row r="42" spans="1:6" ht="12.75">
      <c r="A42" s="25"/>
      <c r="B42" s="50" t="s">
        <v>91</v>
      </c>
      <c r="C42" s="25"/>
      <c r="F42" s="1"/>
    </row>
    <row r="43" spans="1:7" ht="12.75">
      <c r="A43" s="25"/>
      <c r="B43" s="25"/>
      <c r="C43" s="25" t="s">
        <v>27</v>
      </c>
      <c r="E43" s="5">
        <v>176716.153</v>
      </c>
      <c r="F43" s="56" t="s">
        <v>138</v>
      </c>
      <c r="G43" s="57">
        <f>IF(E43&gt;0,E43/$F$50,0)</f>
        <v>0.028545789992221637</v>
      </c>
    </row>
    <row r="44" spans="1:7" ht="12.75">
      <c r="A44" s="25"/>
      <c r="B44" s="25"/>
      <c r="C44" s="25" t="s">
        <v>28</v>
      </c>
      <c r="E44" s="5">
        <v>3077154.609</v>
      </c>
      <c r="F44" s="56" t="s">
        <v>138</v>
      </c>
      <c r="G44" s="57">
        <f aca="true" t="shared" si="0" ref="G44:G50">IF(E44&gt;0,E44/$F$50,0)</f>
        <v>0.49706723324896557</v>
      </c>
    </row>
    <row r="45" spans="1:7" ht="12.75">
      <c r="A45" s="25"/>
      <c r="B45" s="25"/>
      <c r="C45" s="25" t="s">
        <v>29</v>
      </c>
      <c r="E45" s="5">
        <v>1392642.2489999998</v>
      </c>
      <c r="F45" s="56" t="s">
        <v>138</v>
      </c>
      <c r="G45" s="57">
        <f t="shared" si="0"/>
        <v>0.2249600418488582</v>
      </c>
    </row>
    <row r="46" spans="1:7" ht="12.75">
      <c r="A46" s="25"/>
      <c r="B46" s="25"/>
      <c r="C46" s="25" t="s">
        <v>30</v>
      </c>
      <c r="E46" s="5">
        <v>554287.256</v>
      </c>
      <c r="F46" s="56" t="s">
        <v>138</v>
      </c>
      <c r="G46" s="57">
        <f t="shared" si="0"/>
        <v>0.08953662320354379</v>
      </c>
    </row>
    <row r="47" spans="1:7" ht="12.75">
      <c r="A47" s="25"/>
      <c r="B47" s="25"/>
      <c r="C47" s="25" t="s">
        <v>31</v>
      </c>
      <c r="E47" s="5">
        <v>0</v>
      </c>
      <c r="F47" s="56" t="s">
        <v>138</v>
      </c>
      <c r="G47" s="57">
        <f t="shared" si="0"/>
        <v>0</v>
      </c>
    </row>
    <row r="48" spans="1:7" ht="12.75">
      <c r="A48" s="25"/>
      <c r="B48" s="25"/>
      <c r="C48" s="25" t="s">
        <v>32</v>
      </c>
      <c r="E48" s="5">
        <v>195000</v>
      </c>
      <c r="F48" s="56" t="s">
        <v>138</v>
      </c>
      <c r="G48" s="57">
        <f t="shared" si="0"/>
        <v>0.0314992656527738</v>
      </c>
    </row>
    <row r="49" spans="1:7" ht="12.75">
      <c r="A49" s="25"/>
      <c r="B49" s="25"/>
      <c r="C49" s="25" t="s">
        <v>33</v>
      </c>
      <c r="E49" s="5">
        <v>794820.243</v>
      </c>
      <c r="F49" s="56" t="s">
        <v>138</v>
      </c>
      <c r="G49" s="57">
        <f t="shared" si="0"/>
        <v>0.12839104605363705</v>
      </c>
    </row>
    <row r="50" spans="1:7" ht="13.5" thickBot="1">
      <c r="A50" s="25"/>
      <c r="B50" s="25"/>
      <c r="C50" s="25" t="s">
        <v>34</v>
      </c>
      <c r="E50" s="5">
        <v>0</v>
      </c>
      <c r="F50" s="55">
        <f>SUM($E$43:$E$50)</f>
        <v>6190620.51</v>
      </c>
      <c r="G50" s="57">
        <f t="shared" si="0"/>
        <v>0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92</v>
      </c>
      <c r="B52" s="25"/>
      <c r="C52" s="25"/>
      <c r="E52" s="6"/>
      <c r="F52" s="6"/>
    </row>
    <row r="53" spans="1:3" ht="12.75">
      <c r="A53" s="25"/>
      <c r="B53" s="50" t="s">
        <v>93</v>
      </c>
      <c r="C53" s="25"/>
    </row>
    <row r="54" spans="1:5" ht="12.75">
      <c r="A54" s="25"/>
      <c r="B54" s="25"/>
      <c r="C54" s="25" t="s">
        <v>82</v>
      </c>
      <c r="E54" s="5">
        <v>3328541.654</v>
      </c>
    </row>
    <row r="55" spans="1:5" ht="12.75">
      <c r="A55" s="25"/>
      <c r="B55" s="25"/>
      <c r="C55" s="25" t="s">
        <v>83</v>
      </c>
      <c r="E55" s="5">
        <v>1351721.008</v>
      </c>
    </row>
    <row r="56" spans="1:5" ht="12.75">
      <c r="A56" s="25"/>
      <c r="B56" s="25"/>
      <c r="C56" s="25" t="s">
        <v>84</v>
      </c>
      <c r="E56" s="5">
        <v>469998.298</v>
      </c>
    </row>
    <row r="57" spans="1:6" ht="12.75">
      <c r="A57" s="25"/>
      <c r="B57" s="25"/>
      <c r="C57" s="25" t="s">
        <v>94</v>
      </c>
      <c r="E57" s="5">
        <v>491745.101</v>
      </c>
      <c r="F57" s="3">
        <f>SUM($E$54:$E$57)</f>
        <v>5642006.061000001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95</v>
      </c>
      <c r="B59" s="25"/>
      <c r="C59" s="25"/>
      <c r="E59" s="1"/>
      <c r="F59" s="1"/>
    </row>
    <row r="60" spans="1:6" ht="12.75">
      <c r="A60" s="25"/>
      <c r="B60" s="25"/>
      <c r="C60" s="25" t="s">
        <v>13</v>
      </c>
      <c r="F60" s="3">
        <v>50761.883</v>
      </c>
    </row>
    <row r="61" spans="1:6" ht="12.75">
      <c r="A61" s="25"/>
      <c r="B61" s="25"/>
      <c r="C61" s="25" t="s">
        <v>14</v>
      </c>
      <c r="F61" s="3">
        <f>$F$36</f>
        <v>45631.675</v>
      </c>
    </row>
    <row r="62" spans="1:6" ht="12.75">
      <c r="A62" s="25"/>
      <c r="B62" s="25"/>
      <c r="C62" s="25" t="s">
        <v>139</v>
      </c>
      <c r="F62" s="3">
        <v>0</v>
      </c>
    </row>
    <row r="63" spans="1:6" ht="12.75">
      <c r="A63" s="25"/>
      <c r="B63" s="25"/>
      <c r="C63" s="25" t="s">
        <v>15</v>
      </c>
      <c r="E63" s="5">
        <v>0</v>
      </c>
      <c r="F63" s="1"/>
    </row>
    <row r="64" spans="1:6" ht="13.5" thickBot="1">
      <c r="A64" s="25"/>
      <c r="B64" s="25"/>
      <c r="C64" s="25" t="s">
        <v>96</v>
      </c>
      <c r="E64" s="5">
        <v>9148.728</v>
      </c>
      <c r="F64" s="55">
        <f>$E$64+$E$63</f>
        <v>9148.728</v>
      </c>
    </row>
    <row r="65" spans="1:6" ht="13.5" thickBot="1">
      <c r="A65" s="25"/>
      <c r="B65" s="25"/>
      <c r="C65" s="25" t="s">
        <v>16</v>
      </c>
      <c r="F65" s="55">
        <f>$F$60+$F$61+$F$62-$F$64</f>
        <v>87244.83</v>
      </c>
    </row>
    <row r="66" spans="1:6" ht="12.75">
      <c r="A66" s="25"/>
      <c r="B66" s="25"/>
      <c r="C66" s="25"/>
      <c r="F66" s="1"/>
    </row>
    <row r="67" spans="1:6" ht="12.75">
      <c r="A67" s="48" t="s">
        <v>97</v>
      </c>
      <c r="B67" s="25"/>
      <c r="C67" s="25"/>
      <c r="F67" s="1"/>
    </row>
    <row r="68" spans="1:6" ht="12.75">
      <c r="A68" s="25"/>
      <c r="B68" s="25"/>
      <c r="C68" s="25" t="s">
        <v>13</v>
      </c>
      <c r="E68" s="26"/>
      <c r="F68" s="3">
        <v>152764.88700000002</v>
      </c>
    </row>
    <row r="69" spans="1:6" ht="12.75">
      <c r="A69" s="25"/>
      <c r="B69" s="25"/>
      <c r="C69" s="25" t="s">
        <v>54</v>
      </c>
      <c r="E69" s="5">
        <v>3710.713</v>
      </c>
      <c r="F69" s="58"/>
    </row>
    <row r="70" spans="1:6" ht="12.75">
      <c r="A70" s="25"/>
      <c r="B70" s="25"/>
      <c r="C70" s="25" t="s">
        <v>98</v>
      </c>
      <c r="E70" s="5">
        <v>1538.661</v>
      </c>
      <c r="F70" s="3">
        <f>$E$69+$E$70</f>
        <v>5249.374</v>
      </c>
    </row>
    <row r="71" spans="1:6" ht="12.75">
      <c r="A71" s="25"/>
      <c r="B71" s="25"/>
      <c r="C71" s="25" t="s">
        <v>55</v>
      </c>
      <c r="E71" s="5">
        <v>3046.995</v>
      </c>
      <c r="F71" s="60"/>
    </row>
    <row r="72" spans="1:6" ht="13.5" thickBot="1">
      <c r="A72" s="49"/>
      <c r="B72" s="49"/>
      <c r="C72" s="25" t="s">
        <v>99</v>
      </c>
      <c r="E72" s="5">
        <v>0</v>
      </c>
      <c r="F72" s="55">
        <f>$E$72+$E$71</f>
        <v>3046.995</v>
      </c>
    </row>
    <row r="73" spans="1:6" ht="13.5" thickBot="1">
      <c r="A73" s="49"/>
      <c r="B73" s="49"/>
      <c r="C73" s="25" t="s">
        <v>16</v>
      </c>
      <c r="E73" s="26"/>
      <c r="F73" s="55">
        <f>$F$68+$F$70-$F$72</f>
        <v>154967.26600000003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100</v>
      </c>
      <c r="B75" s="49"/>
      <c r="C75" s="25"/>
      <c r="E75" s="60"/>
      <c r="F75" s="61"/>
    </row>
    <row r="76" spans="1:7" ht="13.5" thickBot="1">
      <c r="A76" s="25"/>
      <c r="B76" s="25" t="s">
        <v>17</v>
      </c>
      <c r="C76" s="25" t="s">
        <v>101</v>
      </c>
      <c r="D76" s="26"/>
      <c r="E76" s="55">
        <f>$E$16-$E$17</f>
        <v>238736.75400000002</v>
      </c>
      <c r="F76" s="55">
        <f>$F$18</f>
        <v>215995.999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12.75">
      <c r="A78" s="25"/>
      <c r="B78" s="25" t="s">
        <v>20</v>
      </c>
      <c r="C78" s="25" t="s">
        <v>102</v>
      </c>
      <c r="D78" s="26"/>
      <c r="E78" s="58" t="s">
        <v>18</v>
      </c>
      <c r="F78" s="58" t="s">
        <v>19</v>
      </c>
      <c r="G78" s="26"/>
    </row>
    <row r="79" spans="1:7" ht="12.75">
      <c r="A79" s="25"/>
      <c r="B79" s="25"/>
      <c r="C79" s="25" t="s">
        <v>21</v>
      </c>
      <c r="D79" s="26"/>
      <c r="E79" s="3">
        <v>5822537.356000001</v>
      </c>
      <c r="F79" s="3">
        <v>5995466.245</v>
      </c>
      <c r="G79" s="26"/>
    </row>
    <row r="80" spans="1:7" ht="12.75">
      <c r="A80" s="25"/>
      <c r="B80" s="25"/>
      <c r="C80" s="25" t="s">
        <v>23</v>
      </c>
      <c r="D80" s="26"/>
      <c r="E80" s="3">
        <v>6190620.510000001</v>
      </c>
      <c r="F80" s="3">
        <v>6268334.552000001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22</v>
      </c>
      <c r="C82" s="25" t="s">
        <v>103</v>
      </c>
      <c r="D82" s="59"/>
      <c r="E82" s="26"/>
      <c r="F82" s="59"/>
      <c r="G82" s="26"/>
    </row>
    <row r="83" spans="1:7" ht="13.5" thickBot="1">
      <c r="A83" s="25"/>
      <c r="B83" s="25"/>
      <c r="C83" s="25" t="s">
        <v>104</v>
      </c>
      <c r="D83" s="59"/>
      <c r="E83" s="61"/>
      <c r="F83" s="55">
        <f>$F$79-$E$79</f>
        <v>172928.8889999995</v>
      </c>
      <c r="G83" s="61"/>
    </row>
    <row r="84" spans="1:7" ht="13.5" thickBot="1">
      <c r="A84" s="25"/>
      <c r="B84" s="25"/>
      <c r="C84" s="25" t="s">
        <v>105</v>
      </c>
      <c r="D84" s="26"/>
      <c r="E84" s="26"/>
      <c r="F84" s="55">
        <f>$F$80-$E$80</f>
        <v>77714.04200000037</v>
      </c>
      <c r="G84" s="26"/>
    </row>
    <row r="85" spans="1:7" ht="13.5" thickBot="1">
      <c r="A85" s="25"/>
      <c r="B85" s="25"/>
      <c r="C85" s="25" t="s">
        <v>106</v>
      </c>
      <c r="D85" s="59"/>
      <c r="E85" s="26"/>
      <c r="F85" s="55">
        <f>$F$84-$F$83</f>
        <v>-95214.84699999914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24</v>
      </c>
      <c r="C87" s="25" t="s">
        <v>107</v>
      </c>
      <c r="D87" s="59"/>
      <c r="E87" s="57">
        <f>IF($E$79+$E$80&gt;0,E$76/(($E$79+$E$80)/2),0)</f>
        <v>0.03974587808850493</v>
      </c>
      <c r="F87" s="57">
        <f>IF($E$79+$E$80&gt;0,F$76/(($E$79+$E$80)/2),0)</f>
        <v>0.0359599035339939</v>
      </c>
      <c r="G87" s="61"/>
    </row>
    <row r="88" spans="1:7" ht="12.75">
      <c r="A88" s="25"/>
      <c r="B88" s="25" t="s">
        <v>25</v>
      </c>
      <c r="C88" s="25" t="s">
        <v>108</v>
      </c>
      <c r="D88" s="26"/>
      <c r="E88" s="57">
        <f>IF($F$79+$F$80&gt;0,(E$76+($F$80-$E$80)-($F$79-$E$79))/(($F$79+$F$80)/2),0)</f>
        <v>0.023405779232015825</v>
      </c>
      <c r="F88" s="57">
        <f>IF($F$79+$F$80&gt;0,(F$76+($F$80-$E$80)-($F$79-$E$79))/(($F$79+$F$80)/2),0)</f>
        <v>0.019697180996212305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26</v>
      </c>
      <c r="C90" s="25" t="s">
        <v>109</v>
      </c>
      <c r="D90" s="26"/>
      <c r="E90" s="59"/>
      <c r="F90" s="26"/>
      <c r="G90" s="62"/>
    </row>
    <row r="91" spans="1:7" ht="12.75">
      <c r="A91" s="25"/>
      <c r="B91" s="25"/>
      <c r="C91" s="25" t="s">
        <v>110</v>
      </c>
      <c r="D91" s="26"/>
      <c r="E91" s="68"/>
      <c r="F91" s="67">
        <v>0.0584</v>
      </c>
      <c r="G91" s="59"/>
    </row>
    <row r="92" spans="1:7" ht="12.75">
      <c r="A92" s="25"/>
      <c r="B92" s="25"/>
      <c r="C92" s="25" t="s">
        <v>111</v>
      </c>
      <c r="D92" s="26"/>
      <c r="E92" s="68"/>
      <c r="F92" s="67">
        <v>0.0557</v>
      </c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35</v>
      </c>
      <c r="C94" s="25" t="s">
        <v>37</v>
      </c>
      <c r="D94" s="26"/>
      <c r="E94" s="64"/>
      <c r="F94" s="26"/>
      <c r="G94" s="65"/>
    </row>
    <row r="95" spans="1:7" ht="12.75">
      <c r="A95" s="25"/>
      <c r="B95" s="25"/>
      <c r="C95" s="25" t="s">
        <v>112</v>
      </c>
      <c r="D95" s="26"/>
      <c r="E95" s="26"/>
      <c r="F95" s="8">
        <v>70821</v>
      </c>
      <c r="G95" s="26"/>
    </row>
    <row r="96" spans="1:7" ht="12.75">
      <c r="A96" s="25"/>
      <c r="B96" s="25"/>
      <c r="C96" s="25" t="s">
        <v>113</v>
      </c>
      <c r="D96" s="26"/>
      <c r="E96" s="26"/>
      <c r="F96" s="8">
        <v>5650</v>
      </c>
      <c r="G96" s="26"/>
    </row>
    <row r="97" spans="1:7" ht="13.5" thickBot="1">
      <c r="A97" s="25"/>
      <c r="B97" s="25"/>
      <c r="C97" s="25" t="s">
        <v>114</v>
      </c>
      <c r="D97" s="26"/>
      <c r="E97" s="61"/>
      <c r="F97" s="69">
        <v>39965</v>
      </c>
      <c r="G97" s="26"/>
    </row>
    <row r="98" spans="1:7" ht="13.5" thickBot="1">
      <c r="A98" s="25"/>
      <c r="B98" s="25"/>
      <c r="C98" s="25" t="s">
        <v>115</v>
      </c>
      <c r="D98" s="26"/>
      <c r="E98" s="61"/>
      <c r="F98" s="70">
        <f>SUM($F$95:$F$97)</f>
        <v>116436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36</v>
      </c>
      <c r="C100" s="25" t="s">
        <v>43</v>
      </c>
    </row>
    <row r="101" spans="1:6" ht="12.75">
      <c r="A101" s="25"/>
      <c r="B101" s="25"/>
      <c r="C101" s="25" t="s">
        <v>116</v>
      </c>
      <c r="F101" s="3">
        <f>$E$18</f>
        <v>22740.754999999997</v>
      </c>
    </row>
    <row r="102" spans="1:6" ht="12.75">
      <c r="A102" s="25"/>
      <c r="B102" s="25"/>
      <c r="C102" s="25" t="s">
        <v>117</v>
      </c>
      <c r="F102" s="57">
        <f>IF($F$101&gt;0,$F$101/(($F$79+$F$80)/2),0)</f>
        <v>0.0037085982358035187</v>
      </c>
    </row>
    <row r="103" spans="1:5" ht="12.75">
      <c r="A103" s="25"/>
      <c r="B103" s="25"/>
      <c r="C103" s="25" t="s">
        <v>9</v>
      </c>
      <c r="E103" s="5">
        <v>51879.588</v>
      </c>
    </row>
    <row r="104" spans="1:6" ht="13.5" thickBot="1">
      <c r="A104" s="25"/>
      <c r="B104" s="25"/>
      <c r="C104" s="25" t="s">
        <v>118</v>
      </c>
      <c r="E104" s="5">
        <v>-49.128</v>
      </c>
      <c r="F104" s="55">
        <f>$E$103-$E$104</f>
        <v>51928.716</v>
      </c>
    </row>
    <row r="105" spans="1:6" ht="12.75">
      <c r="A105" s="25"/>
      <c r="B105" s="25"/>
      <c r="C105" s="25" t="s">
        <v>119</v>
      </c>
      <c r="F105" s="3">
        <f>IF(F$98&gt;0,(1000*F$104)/F$98,0)</f>
        <v>445.9850561681954</v>
      </c>
    </row>
    <row r="106" spans="1:6" ht="12.75">
      <c r="A106" s="25"/>
      <c r="B106" s="25"/>
      <c r="C106" s="25" t="s">
        <v>120</v>
      </c>
      <c r="F106" s="3">
        <f>IF($F$98&gt;0,$E$14*1000/$F$98,0)</f>
        <v>438.0751829331134</v>
      </c>
    </row>
    <row r="107" spans="1:3" ht="12.75">
      <c r="A107" s="25"/>
      <c r="B107" s="25"/>
      <c r="C107" s="25"/>
    </row>
    <row r="108" spans="1:3" ht="12.75">
      <c r="A108" s="48" t="s">
        <v>144</v>
      </c>
      <c r="B108" s="25"/>
      <c r="C108" s="25"/>
    </row>
    <row r="109" spans="1:7" ht="12.75">
      <c r="A109" s="25"/>
      <c r="B109" s="50" t="s">
        <v>56</v>
      </c>
      <c r="C109" s="25"/>
      <c r="D109" s="108" t="s">
        <v>142</v>
      </c>
      <c r="E109" s="108"/>
      <c r="F109" s="108" t="s">
        <v>143</v>
      </c>
      <c r="G109" s="108"/>
    </row>
    <row r="110" spans="1:6" ht="12.75">
      <c r="A110" s="25"/>
      <c r="B110" s="25"/>
      <c r="C110" s="25" t="s">
        <v>121</v>
      </c>
      <c r="D110" s="89">
        <v>200989.74599999998</v>
      </c>
      <c r="F110" s="89">
        <v>15006.254</v>
      </c>
    </row>
    <row r="111" spans="1:6" ht="12.75">
      <c r="A111" s="25"/>
      <c r="B111" s="25"/>
      <c r="C111" s="25" t="s">
        <v>122</v>
      </c>
      <c r="D111" s="5">
        <v>115150.762</v>
      </c>
      <c r="F111" s="5">
        <v>25247.272</v>
      </c>
    </row>
    <row r="112" spans="1:7" ht="12.75">
      <c r="A112" s="25"/>
      <c r="B112" s="25"/>
      <c r="C112" s="25" t="s">
        <v>123</v>
      </c>
      <c r="D112" s="5">
        <v>48969.916</v>
      </c>
      <c r="E112" s="3">
        <f>SUM($D$110:$D$112)</f>
        <v>365110.424</v>
      </c>
      <c r="F112" s="5">
        <v>2037.806</v>
      </c>
      <c r="G112" s="3">
        <f>SUM($F$110:$F$112)</f>
        <v>42291.331999999995</v>
      </c>
    </row>
    <row r="113" spans="1:3" ht="12.75">
      <c r="A113" s="25"/>
      <c r="B113" s="50" t="s">
        <v>57</v>
      </c>
      <c r="C113" s="25"/>
    </row>
    <row r="114" spans="1:6" ht="12.75">
      <c r="A114" s="25"/>
      <c r="B114" s="25"/>
      <c r="C114" s="25" t="s">
        <v>124</v>
      </c>
      <c r="D114" s="5">
        <v>140895.196</v>
      </c>
      <c r="F114" s="5">
        <v>12938.048</v>
      </c>
    </row>
    <row r="115" spans="1:6" ht="12.75">
      <c r="A115" s="25"/>
      <c r="B115" s="25"/>
      <c r="C115" s="25" t="s">
        <v>125</v>
      </c>
      <c r="D115" s="5">
        <v>35494.75</v>
      </c>
      <c r="F115" s="5">
        <v>9982.721000000001</v>
      </c>
    </row>
    <row r="116" spans="1:7" ht="12.75">
      <c r="A116" s="25"/>
      <c r="B116" s="25"/>
      <c r="C116" s="25" t="s">
        <v>126</v>
      </c>
      <c r="D116" s="5">
        <v>44596.445999999996</v>
      </c>
      <c r="E116" s="3">
        <f>SUM($D$114:$D$116)</f>
        <v>220986.392</v>
      </c>
      <c r="F116" s="5">
        <v>3066.96</v>
      </c>
      <c r="G116" s="3">
        <f>SUM($F$114:$F$116)</f>
        <v>25987.729</v>
      </c>
    </row>
    <row r="117" spans="1:7" ht="14.25">
      <c r="A117" s="25"/>
      <c r="B117" s="51" t="s">
        <v>136</v>
      </c>
      <c r="C117" s="25"/>
      <c r="E117" s="3">
        <f>$E$112-$E$116</f>
        <v>144124.032</v>
      </c>
      <c r="G117" s="3">
        <f>$G$112-$G$116</f>
        <v>16303.602999999996</v>
      </c>
    </row>
    <row r="118" spans="1:3" ht="12.75">
      <c r="A118" s="25"/>
      <c r="B118" s="50" t="s">
        <v>127</v>
      </c>
      <c r="C118" s="25"/>
    </row>
    <row r="119" spans="1:6" ht="12.75">
      <c r="A119" s="25"/>
      <c r="B119" s="25"/>
      <c r="C119" s="25" t="s">
        <v>128</v>
      </c>
      <c r="D119" s="5">
        <v>0</v>
      </c>
      <c r="F119" s="5">
        <v>0</v>
      </c>
    </row>
    <row r="120" spans="1:6" ht="12.75">
      <c r="A120" s="25"/>
      <c r="B120" s="25"/>
      <c r="C120" s="25" t="s">
        <v>129</v>
      </c>
      <c r="D120" s="5">
        <v>0</v>
      </c>
      <c r="F120" s="5">
        <v>0</v>
      </c>
    </row>
    <row r="121" spans="1:6" ht="12.75">
      <c r="A121" s="25"/>
      <c r="B121" s="25"/>
      <c r="C121" s="25" t="s">
        <v>130</v>
      </c>
      <c r="D121" s="5">
        <v>886.302</v>
      </c>
      <c r="F121" s="5">
        <v>0</v>
      </c>
    </row>
    <row r="122" spans="1:6" ht="12.75">
      <c r="A122" s="25"/>
      <c r="B122" s="25"/>
      <c r="C122" s="25" t="s">
        <v>131</v>
      </c>
      <c r="D122" s="5">
        <v>0</v>
      </c>
      <c r="F122" s="5">
        <v>0</v>
      </c>
    </row>
    <row r="123" spans="1:6" ht="12.75">
      <c r="A123" s="25"/>
      <c r="B123" s="25"/>
      <c r="C123" s="25" t="s">
        <v>132</v>
      </c>
      <c r="D123" s="5">
        <v>50</v>
      </c>
      <c r="F123" s="5">
        <v>143.368</v>
      </c>
    </row>
    <row r="124" spans="1:6" ht="12.75">
      <c r="A124" s="25"/>
      <c r="B124" s="25"/>
      <c r="C124" s="25" t="s">
        <v>133</v>
      </c>
      <c r="D124" s="5">
        <v>67000</v>
      </c>
      <c r="F124" s="5">
        <v>6000</v>
      </c>
    </row>
    <row r="125" spans="1:6" ht="12.75">
      <c r="A125" s="25"/>
      <c r="B125" s="25"/>
      <c r="C125" s="25" t="s">
        <v>134</v>
      </c>
      <c r="D125" s="5">
        <v>0</v>
      </c>
      <c r="F125" s="5">
        <v>0</v>
      </c>
    </row>
    <row r="126" spans="1:7" ht="12.75">
      <c r="A126" s="25"/>
      <c r="B126" s="25"/>
      <c r="C126" s="25" t="s">
        <v>135</v>
      </c>
      <c r="D126" s="5">
        <v>0</v>
      </c>
      <c r="E126" s="3">
        <f>SUM($D$119:$D$126)</f>
        <v>67936.302</v>
      </c>
      <c r="F126" s="5">
        <v>0</v>
      </c>
      <c r="G126" s="3">
        <f>SUM($F$119:$F$126)</f>
        <v>6143.368</v>
      </c>
    </row>
    <row r="127" spans="1:5" ht="12.75">
      <c r="A127" s="25"/>
      <c r="B127" s="25" t="s">
        <v>58</v>
      </c>
      <c r="C127" s="25"/>
      <c r="E127" s="3">
        <v>0</v>
      </c>
    </row>
    <row r="128" spans="1:7" ht="13.5" thickBot="1">
      <c r="A128" s="25"/>
      <c r="B128" s="25" t="s">
        <v>59</v>
      </c>
      <c r="C128" s="25"/>
      <c r="E128" s="54">
        <v>39677</v>
      </c>
      <c r="G128" s="55">
        <v>5954.987</v>
      </c>
    </row>
    <row r="129" spans="1:7" ht="13.5" thickBot="1">
      <c r="A129" s="25"/>
      <c r="B129" s="25" t="s">
        <v>12</v>
      </c>
      <c r="C129" s="25"/>
      <c r="E129" s="55">
        <f>$E$117-SUM($E$126:$E$128)</f>
        <v>36510.73000000001</v>
      </c>
      <c r="G129" s="55">
        <f>$G$117-$G$126-$G$128</f>
        <v>4205.247999999995</v>
      </c>
    </row>
    <row r="130" spans="1:7" ht="12.75">
      <c r="A130" s="25"/>
      <c r="B130" s="25" t="s">
        <v>64</v>
      </c>
      <c r="C130" s="25"/>
      <c r="E130" s="57">
        <f>IF(E$112&gt;0,MIN(MAX((E$116+E$126+E$127+E$128)/E$112,0.9),1),0)</f>
        <v>0.9000008556315555</v>
      </c>
      <c r="G130" s="57">
        <f>IF(G$112&gt;0,MIN((G$116+G$126+G$127+G$128)/G$112,1),0)</f>
        <v>0.900564777671226</v>
      </c>
    </row>
    <row r="131" spans="1:3" ht="12.75">
      <c r="A131" s="25"/>
      <c r="C131" s="25"/>
    </row>
    <row r="132" spans="1:6" ht="12.75">
      <c r="A132" s="25"/>
      <c r="B132" s="50" t="s">
        <v>60</v>
      </c>
      <c r="C132" s="25"/>
      <c r="F132" t="s">
        <v>141</v>
      </c>
    </row>
    <row r="133" spans="1:6" ht="12.75">
      <c r="A133" s="25"/>
      <c r="B133" s="25"/>
      <c r="C133" s="25" t="s">
        <v>61</v>
      </c>
      <c r="E133" s="3">
        <f>$E$129</f>
        <v>36510.73000000001</v>
      </c>
      <c r="F133" s="57">
        <f>IF($E$112&gt;0,$E$133/$E$112,0)</f>
        <v>0.09999914436844458</v>
      </c>
    </row>
    <row r="134" spans="1:6" ht="12.75">
      <c r="A134" s="25"/>
      <c r="B134" s="25"/>
      <c r="C134" s="25" t="s">
        <v>62</v>
      </c>
      <c r="E134" s="3">
        <f>$G$129</f>
        <v>4205.247999999995</v>
      </c>
      <c r="F134" s="57">
        <f>IF($G$112&gt;0,$E$134/$G$112,0)</f>
        <v>0.09943522232877403</v>
      </c>
    </row>
    <row r="135" spans="2:5" ht="12.75">
      <c r="B135" s="25"/>
      <c r="C135" s="25" t="s">
        <v>87</v>
      </c>
      <c r="E135" s="3">
        <f>SUM(E133:$E$134)</f>
        <v>40715.978</v>
      </c>
    </row>
    <row r="137" spans="2:3" ht="12.75">
      <c r="B137" s="53" t="s">
        <v>137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43" right="0.16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indexed="1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47" t="s">
        <v>69</v>
      </c>
      <c r="B1" s="47"/>
      <c r="C1" s="25"/>
    </row>
    <row r="2" spans="1:3" ht="12.75">
      <c r="A2" s="25" t="s">
        <v>0</v>
      </c>
      <c r="B2" s="25"/>
      <c r="C2" s="25"/>
    </row>
    <row r="3" spans="1:3" ht="12.75">
      <c r="A3" s="48" t="s">
        <v>47</v>
      </c>
      <c r="B3" s="48"/>
      <c r="C3" s="25"/>
    </row>
    <row r="4" spans="1:3" ht="12.75">
      <c r="A4" s="25"/>
      <c r="B4" s="25"/>
      <c r="C4" s="25"/>
    </row>
    <row r="5" spans="1:3" ht="12.75">
      <c r="A5" s="25" t="s">
        <v>38</v>
      </c>
      <c r="B5" s="25"/>
      <c r="C5" s="25"/>
    </row>
    <row r="6" spans="1:3" ht="12.75">
      <c r="A6" s="25"/>
      <c r="B6" s="25"/>
      <c r="C6" s="25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</v>
      </c>
      <c r="F8" s="2" t="s">
        <v>2</v>
      </c>
      <c r="G8" s="2"/>
    </row>
    <row r="9" spans="1:3" ht="12.75">
      <c r="A9" s="48" t="s">
        <v>70</v>
      </c>
      <c r="B9" s="48"/>
      <c r="C9" s="25"/>
    </row>
    <row r="10" spans="1:6" ht="12.75">
      <c r="A10" s="48" t="s">
        <v>71</v>
      </c>
      <c r="B10" s="25"/>
      <c r="C10" s="25"/>
      <c r="E10" s="1"/>
      <c r="F10" s="1"/>
    </row>
    <row r="11" spans="1:3" ht="12.75">
      <c r="A11" s="25"/>
      <c r="B11" s="50" t="s">
        <v>75</v>
      </c>
      <c r="C11" s="25"/>
    </row>
    <row r="12" spans="1:6" ht="12.75">
      <c r="A12" s="25"/>
      <c r="B12" s="25"/>
      <c r="C12" s="25" t="s">
        <v>3</v>
      </c>
      <c r="E12" s="5">
        <f>$F$14-E$13-E$14</f>
        <v>1490663.295</v>
      </c>
      <c r="F12" s="1"/>
    </row>
    <row r="13" spans="1:6" ht="12.75">
      <c r="A13" s="25"/>
      <c r="B13" s="25"/>
      <c r="C13" s="25" t="s">
        <v>4</v>
      </c>
      <c r="E13" s="5">
        <v>210933.503</v>
      </c>
      <c r="F13" s="1"/>
    </row>
    <row r="14" spans="1:6" ht="12.75">
      <c r="A14" s="25"/>
      <c r="B14" s="25"/>
      <c r="C14" s="25" t="s">
        <v>5</v>
      </c>
      <c r="E14" s="5">
        <v>76123.398</v>
      </c>
      <c r="F14" s="3">
        <v>1777720.196</v>
      </c>
    </row>
    <row r="15" spans="1:6" ht="12.75">
      <c r="A15" s="25"/>
      <c r="B15" s="50" t="s">
        <v>72</v>
      </c>
      <c r="C15" s="25"/>
      <c r="E15" s="1"/>
      <c r="F15" s="1"/>
    </row>
    <row r="16" spans="1:6" ht="12.75">
      <c r="A16" s="25"/>
      <c r="B16" s="25"/>
      <c r="C16" s="25" t="s">
        <v>72</v>
      </c>
      <c r="E16" s="5">
        <v>514914.91800000006</v>
      </c>
      <c r="F16" s="1"/>
    </row>
    <row r="17" spans="1:6" ht="12.75">
      <c r="A17" s="25"/>
      <c r="B17" s="25"/>
      <c r="C17" s="25" t="s">
        <v>73</v>
      </c>
      <c r="E17" s="5">
        <v>1260.477</v>
      </c>
      <c r="F17" s="1"/>
    </row>
    <row r="18" spans="1:6" ht="12.75">
      <c r="A18" s="25"/>
      <c r="B18" s="25"/>
      <c r="C18" s="25" t="s">
        <v>74</v>
      </c>
      <c r="E18" s="5">
        <v>40457.395</v>
      </c>
      <c r="F18" s="3">
        <f>$E$16-$E$17-$E$18</f>
        <v>473197.04600000003</v>
      </c>
    </row>
    <row r="19" spans="1:6" ht="12.75">
      <c r="A19" s="25"/>
      <c r="B19" s="25" t="s">
        <v>76</v>
      </c>
      <c r="C19" s="25"/>
      <c r="F19" s="3">
        <v>0</v>
      </c>
    </row>
    <row r="20" spans="1:6" ht="13.5" thickBot="1">
      <c r="A20" s="25"/>
      <c r="B20" s="25" t="s">
        <v>77</v>
      </c>
      <c r="C20" s="25"/>
      <c r="E20" s="6"/>
      <c r="F20" s="54">
        <v>-5907.04</v>
      </c>
    </row>
    <row r="21" spans="1:6" ht="13.5" thickBot="1">
      <c r="A21" s="25"/>
      <c r="B21" s="47" t="s">
        <v>78</v>
      </c>
      <c r="C21" s="25"/>
      <c r="E21" s="6"/>
      <c r="F21" s="55">
        <f>$F$14+$F$18+$F$19+$F$20</f>
        <v>2245010.202</v>
      </c>
    </row>
    <row r="22" spans="1:5" ht="12.75">
      <c r="A22" s="25"/>
      <c r="B22" s="25"/>
      <c r="C22" s="25"/>
      <c r="E22" s="6"/>
    </row>
    <row r="23" spans="1:6" ht="12.75">
      <c r="A23" s="48" t="s">
        <v>79</v>
      </c>
      <c r="B23" s="25"/>
      <c r="C23" s="25"/>
      <c r="E23" s="6"/>
      <c r="F23" s="1"/>
    </row>
    <row r="24" spans="1:6" ht="12.75">
      <c r="A24" s="25"/>
      <c r="B24" s="50" t="s">
        <v>6</v>
      </c>
      <c r="C24" s="25"/>
      <c r="E24" s="6"/>
      <c r="F24" s="1"/>
    </row>
    <row r="25" spans="1:6" ht="12.75">
      <c r="A25" s="25"/>
      <c r="B25" s="25"/>
      <c r="C25" s="25" t="s">
        <v>7</v>
      </c>
      <c r="E25" s="5">
        <v>397156.919</v>
      </c>
      <c r="F25" s="1"/>
    </row>
    <row r="26" spans="1:6" ht="12.75">
      <c r="A26" s="25"/>
      <c r="B26" s="25"/>
      <c r="C26" s="25" t="s">
        <v>8</v>
      </c>
      <c r="E26" s="5">
        <v>779174.463</v>
      </c>
      <c r="F26" s="1"/>
    </row>
    <row r="27" spans="1:6" ht="12.75">
      <c r="A27" s="25"/>
      <c r="B27" s="25"/>
      <c r="C27" s="25" t="s">
        <v>80</v>
      </c>
      <c r="E27" s="5">
        <v>443626.586</v>
      </c>
      <c r="F27" s="3">
        <f>SUM($E$25:$E$27)</f>
        <v>1619957.9679999999</v>
      </c>
    </row>
    <row r="28" spans="1:5" ht="12.75">
      <c r="A28" s="25"/>
      <c r="B28" s="50" t="s">
        <v>81</v>
      </c>
      <c r="C28" s="25"/>
      <c r="E28" s="1"/>
    </row>
    <row r="29" spans="1:6" ht="12.75">
      <c r="A29" s="25"/>
      <c r="B29" s="25"/>
      <c r="C29" s="25" t="s">
        <v>82</v>
      </c>
      <c r="E29" s="5">
        <v>148282.86099999957</v>
      </c>
      <c r="F29" s="1"/>
    </row>
    <row r="30" spans="1:6" ht="12.75">
      <c r="A30" s="25"/>
      <c r="B30" s="25"/>
      <c r="C30" s="25" t="s">
        <v>83</v>
      </c>
      <c r="E30" s="5">
        <v>43372.461999999825</v>
      </c>
      <c r="F30" s="1"/>
    </row>
    <row r="31" spans="1:6" ht="12.75">
      <c r="A31" s="25"/>
      <c r="B31" s="25"/>
      <c r="C31" s="25" t="s">
        <v>84</v>
      </c>
      <c r="D31" s="1"/>
      <c r="E31" s="5">
        <v>-22499.59600000002</v>
      </c>
      <c r="F31" s="1"/>
    </row>
    <row r="32" spans="1:6" ht="12.75">
      <c r="A32" s="25"/>
      <c r="B32" s="25"/>
      <c r="C32" s="25" t="s">
        <v>85</v>
      </c>
      <c r="D32" s="1"/>
      <c r="E32" s="5">
        <f>$F$32-SUM($E$29:$E$31)</f>
        <v>215368.37900000066</v>
      </c>
      <c r="F32" s="3">
        <v>384524.106</v>
      </c>
    </row>
    <row r="33" spans="1:6" ht="12.75">
      <c r="A33" s="25"/>
      <c r="B33" s="50" t="s">
        <v>9</v>
      </c>
      <c r="C33" s="25"/>
      <c r="D33" s="1"/>
      <c r="E33" s="1"/>
      <c r="F33" s="3">
        <v>96412.129</v>
      </c>
    </row>
    <row r="34" spans="1:6" ht="12.75">
      <c r="A34" s="25"/>
      <c r="B34" s="25" t="s">
        <v>86</v>
      </c>
      <c r="C34" s="25"/>
      <c r="E34" s="1"/>
      <c r="F34" s="3">
        <v>8607.008</v>
      </c>
    </row>
    <row r="35" spans="1:6" ht="12.75">
      <c r="A35" s="25"/>
      <c r="B35" s="25" t="s">
        <v>10</v>
      </c>
      <c r="C35" s="25"/>
      <c r="E35" s="1"/>
      <c r="F35" s="3">
        <v>0</v>
      </c>
    </row>
    <row r="36" spans="1:6" ht="12.75">
      <c r="A36" s="25"/>
      <c r="B36" s="25" t="s">
        <v>11</v>
      </c>
      <c r="C36" s="25"/>
      <c r="F36" s="3">
        <v>74690</v>
      </c>
    </row>
    <row r="37" spans="1:6" ht="13.5" thickBot="1">
      <c r="A37" s="25"/>
      <c r="B37" s="25" t="s">
        <v>87</v>
      </c>
      <c r="C37" s="25"/>
      <c r="F37" s="54">
        <f>$F$38-($F$27+SUM($F$32:$F$36))</f>
        <v>60818.99099999992</v>
      </c>
    </row>
    <row r="38" spans="1:6" ht="13.5" thickBot="1">
      <c r="A38" s="25"/>
      <c r="B38" s="25" t="s">
        <v>88</v>
      </c>
      <c r="C38" s="25"/>
      <c r="F38" s="55">
        <f>$F$14+$F$18+$F$19+$F$20</f>
        <v>2245010.202</v>
      </c>
    </row>
    <row r="39" spans="1:3" ht="12.75">
      <c r="A39" s="25"/>
      <c r="B39" s="25"/>
      <c r="C39" s="25"/>
    </row>
    <row r="40" spans="1:6" ht="12.75">
      <c r="A40" s="48" t="s">
        <v>89</v>
      </c>
      <c r="B40" s="25"/>
      <c r="C40" s="25"/>
      <c r="E40" s="1"/>
      <c r="F40" s="1"/>
    </row>
    <row r="41" spans="1:6" ht="12.75">
      <c r="A41" s="48" t="s">
        <v>90</v>
      </c>
      <c r="B41" s="25"/>
      <c r="C41" s="25"/>
      <c r="E41" s="1"/>
      <c r="F41" s="1"/>
    </row>
    <row r="42" spans="1:6" ht="12.75">
      <c r="A42" s="25"/>
      <c r="B42" s="50" t="s">
        <v>91</v>
      </c>
      <c r="C42" s="25"/>
      <c r="F42" s="1"/>
    </row>
    <row r="43" spans="1:7" ht="12.75">
      <c r="A43" s="25"/>
      <c r="B43" s="25"/>
      <c r="C43" s="25" t="s">
        <v>27</v>
      </c>
      <c r="E43" s="5">
        <v>417501.152</v>
      </c>
      <c r="F43" s="56" t="s">
        <v>138</v>
      </c>
      <c r="G43" s="57">
        <f>IF(E43&gt;0,E43/$F$50,0)</f>
        <v>0.03431055710893232</v>
      </c>
    </row>
    <row r="44" spans="1:7" ht="12.75">
      <c r="A44" s="25"/>
      <c r="B44" s="25"/>
      <c r="C44" s="25" t="s">
        <v>28</v>
      </c>
      <c r="E44" s="5">
        <v>5917164.386</v>
      </c>
      <c r="F44" s="56" t="s">
        <v>138</v>
      </c>
      <c r="G44" s="57">
        <f aca="true" t="shared" si="0" ref="G44:G50">IF(E44&gt;0,E44/$F$50,0)</f>
        <v>0.48627699735974245</v>
      </c>
    </row>
    <row r="45" spans="1:7" ht="12.75">
      <c r="A45" s="25"/>
      <c r="B45" s="25"/>
      <c r="C45" s="25" t="s">
        <v>29</v>
      </c>
      <c r="E45" s="5">
        <v>2243449.7330000005</v>
      </c>
      <c r="F45" s="56" t="s">
        <v>138</v>
      </c>
      <c r="G45" s="57">
        <f t="shared" si="0"/>
        <v>0.18436837794669242</v>
      </c>
    </row>
    <row r="46" spans="1:7" ht="12.75">
      <c r="A46" s="25"/>
      <c r="B46" s="25"/>
      <c r="C46" s="25" t="s">
        <v>30</v>
      </c>
      <c r="E46" s="5">
        <v>733017.5750000001</v>
      </c>
      <c r="F46" s="56" t="s">
        <v>138</v>
      </c>
      <c r="G46" s="57">
        <f t="shared" si="0"/>
        <v>0.06023993286822974</v>
      </c>
    </row>
    <row r="47" spans="1:7" ht="12.75">
      <c r="A47" s="25"/>
      <c r="B47" s="25"/>
      <c r="C47" s="25" t="s">
        <v>31</v>
      </c>
      <c r="E47" s="5">
        <v>690248.374</v>
      </c>
      <c r="F47" s="56" t="s">
        <v>138</v>
      </c>
      <c r="G47" s="57">
        <f t="shared" si="0"/>
        <v>0.05672512792365821</v>
      </c>
    </row>
    <row r="48" spans="1:7" ht="12.75">
      <c r="A48" s="25"/>
      <c r="B48" s="25"/>
      <c r="C48" s="25" t="s">
        <v>32</v>
      </c>
      <c r="E48" s="5">
        <v>182085.164</v>
      </c>
      <c r="F48" s="56" t="s">
        <v>138</v>
      </c>
      <c r="G48" s="57">
        <f t="shared" si="0"/>
        <v>0.01496389504120771</v>
      </c>
    </row>
    <row r="49" spans="1:7" ht="12.75">
      <c r="A49" s="25"/>
      <c r="B49" s="25"/>
      <c r="C49" s="25" t="s">
        <v>33</v>
      </c>
      <c r="E49" s="5">
        <v>1551589.137</v>
      </c>
      <c r="F49" s="56" t="s">
        <v>138</v>
      </c>
      <c r="G49" s="57">
        <f t="shared" si="0"/>
        <v>0.12751075641256557</v>
      </c>
    </row>
    <row r="50" spans="1:7" ht="13.5" thickBot="1">
      <c r="A50" s="25"/>
      <c r="B50" s="25"/>
      <c r="C50" s="25" t="s">
        <v>34</v>
      </c>
      <c r="E50" s="5">
        <v>433244.477</v>
      </c>
      <c r="F50" s="55">
        <f>SUM($E$43:$E$50)</f>
        <v>12168299.998</v>
      </c>
      <c r="G50" s="57">
        <f t="shared" si="0"/>
        <v>0.035604355338971654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92</v>
      </c>
      <c r="B52" s="25"/>
      <c r="C52" s="25"/>
      <c r="E52" s="6"/>
      <c r="F52" s="6"/>
    </row>
    <row r="53" spans="1:3" ht="12.75">
      <c r="A53" s="25"/>
      <c r="B53" s="50" t="s">
        <v>93</v>
      </c>
      <c r="C53" s="25"/>
    </row>
    <row r="54" spans="1:5" ht="12.75">
      <c r="A54" s="25"/>
      <c r="B54" s="25"/>
      <c r="C54" s="25" t="s">
        <v>82</v>
      </c>
      <c r="E54" s="5">
        <v>7379821.861</v>
      </c>
    </row>
    <row r="55" spans="1:5" ht="12.75">
      <c r="A55" s="25"/>
      <c r="B55" s="25"/>
      <c r="C55" s="25" t="s">
        <v>83</v>
      </c>
      <c r="E55" s="5">
        <v>1996186.4619999998</v>
      </c>
    </row>
    <row r="56" spans="1:5" ht="12.75">
      <c r="A56" s="25"/>
      <c r="B56" s="25"/>
      <c r="C56" s="25" t="s">
        <v>84</v>
      </c>
      <c r="E56" s="5">
        <v>461333.404</v>
      </c>
    </row>
    <row r="57" spans="1:6" ht="12.75">
      <c r="A57" s="25"/>
      <c r="B57" s="25"/>
      <c r="C57" s="25" t="s">
        <v>94</v>
      </c>
      <c r="E57" s="5">
        <v>1943633.16</v>
      </c>
      <c r="F57" s="3">
        <f>SUM($E$54:$E$57)</f>
        <v>11780974.886999998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95</v>
      </c>
      <c r="B59" s="25"/>
      <c r="C59" s="25"/>
      <c r="E59" s="1"/>
      <c r="F59" s="1"/>
    </row>
    <row r="60" spans="1:6" ht="12.75">
      <c r="A60" s="25"/>
      <c r="B60" s="25"/>
      <c r="C60" s="25" t="s">
        <v>13</v>
      </c>
      <c r="F60" s="3">
        <v>54395</v>
      </c>
    </row>
    <row r="61" spans="1:6" ht="12.75">
      <c r="A61" s="25"/>
      <c r="B61" s="25"/>
      <c r="C61" s="25" t="s">
        <v>14</v>
      </c>
      <c r="F61" s="3">
        <f>$F$36</f>
        <v>74690</v>
      </c>
    </row>
    <row r="62" spans="1:6" ht="12.75">
      <c r="A62" s="25"/>
      <c r="B62" s="25"/>
      <c r="C62" s="25" t="s">
        <v>139</v>
      </c>
      <c r="F62" s="3">
        <v>0</v>
      </c>
    </row>
    <row r="63" spans="1:6" ht="12.75">
      <c r="A63" s="25"/>
      <c r="B63" s="25"/>
      <c r="C63" s="25" t="s">
        <v>15</v>
      </c>
      <c r="E63" s="5">
        <v>0</v>
      </c>
      <c r="F63" s="1"/>
    </row>
    <row r="64" spans="1:6" ht="13.5" thickBot="1">
      <c r="A64" s="25"/>
      <c r="B64" s="25"/>
      <c r="C64" s="25" t="s">
        <v>96</v>
      </c>
      <c r="E64" s="5">
        <v>53872.973</v>
      </c>
      <c r="F64" s="55">
        <f>$E$64+$E$63</f>
        <v>53872.973</v>
      </c>
    </row>
    <row r="65" spans="1:6" ht="13.5" thickBot="1">
      <c r="A65" s="25"/>
      <c r="B65" s="25"/>
      <c r="C65" s="25" t="s">
        <v>16</v>
      </c>
      <c r="F65" s="55">
        <f>$F$60+$F$61+$F$62-$F$64</f>
        <v>75212.027</v>
      </c>
    </row>
    <row r="66" spans="1:6" ht="12.75">
      <c r="A66" s="25"/>
      <c r="B66" s="25"/>
      <c r="C66" s="25"/>
      <c r="F66" s="1"/>
    </row>
    <row r="67" spans="1:6" ht="12.75">
      <c r="A67" s="48" t="s">
        <v>97</v>
      </c>
      <c r="B67" s="25"/>
      <c r="C67" s="25"/>
      <c r="F67" s="1"/>
    </row>
    <row r="68" spans="1:6" ht="12.75">
      <c r="A68" s="25"/>
      <c r="B68" s="25"/>
      <c r="C68" s="25" t="s">
        <v>13</v>
      </c>
      <c r="E68" s="26"/>
      <c r="F68" s="3">
        <v>206851.58500000002</v>
      </c>
    </row>
    <row r="69" spans="1:6" ht="12.75">
      <c r="A69" s="25"/>
      <c r="B69" s="25"/>
      <c r="C69" s="25" t="s">
        <v>54</v>
      </c>
      <c r="E69" s="5">
        <v>5541.211</v>
      </c>
      <c r="F69" s="58"/>
    </row>
    <row r="70" spans="1:6" ht="12.75">
      <c r="A70" s="25"/>
      <c r="B70" s="25"/>
      <c r="C70" s="25" t="s">
        <v>98</v>
      </c>
      <c r="E70" s="5">
        <v>2585.6310000000003</v>
      </c>
      <c r="F70" s="3">
        <f>$E$69+$E$70</f>
        <v>8126.842000000001</v>
      </c>
    </row>
    <row r="71" spans="1:6" ht="12.75">
      <c r="A71" s="25"/>
      <c r="B71" s="25"/>
      <c r="C71" s="25" t="s">
        <v>55</v>
      </c>
      <c r="E71" s="5">
        <v>6077.183</v>
      </c>
      <c r="F71" s="60"/>
    </row>
    <row r="72" spans="1:6" ht="13.5" thickBot="1">
      <c r="A72" s="49"/>
      <c r="B72" s="49"/>
      <c r="C72" s="25" t="s">
        <v>99</v>
      </c>
      <c r="E72" s="5">
        <v>0</v>
      </c>
      <c r="F72" s="55">
        <f>$E$72+$E$71</f>
        <v>6077.183</v>
      </c>
    </row>
    <row r="73" spans="1:6" ht="13.5" thickBot="1">
      <c r="A73" s="49"/>
      <c r="B73" s="49"/>
      <c r="C73" s="25" t="s">
        <v>16</v>
      </c>
      <c r="E73" s="26"/>
      <c r="F73" s="55">
        <f>$F$68+$F$70-$F$72</f>
        <v>208901.24400000004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100</v>
      </c>
      <c r="B75" s="49"/>
      <c r="C75" s="25"/>
      <c r="E75" s="60"/>
      <c r="F75" s="61"/>
    </row>
    <row r="76" spans="1:7" ht="13.5" thickBot="1">
      <c r="A76" s="25"/>
      <c r="B76" s="25" t="s">
        <v>17</v>
      </c>
      <c r="C76" s="25" t="s">
        <v>101</v>
      </c>
      <c r="D76" s="26"/>
      <c r="E76" s="55">
        <f>$E$16-$E$17</f>
        <v>513654.44100000005</v>
      </c>
      <c r="F76" s="55">
        <f>$F$18</f>
        <v>473197.04600000003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12.75">
      <c r="A78" s="25"/>
      <c r="B78" s="25" t="s">
        <v>20</v>
      </c>
      <c r="C78" s="25" t="s">
        <v>102</v>
      </c>
      <c r="D78" s="26"/>
      <c r="E78" s="58" t="s">
        <v>18</v>
      </c>
      <c r="F78" s="58" t="s">
        <v>19</v>
      </c>
      <c r="G78" s="26"/>
    </row>
    <row r="79" spans="1:7" ht="12.75">
      <c r="A79" s="25"/>
      <c r="B79" s="25"/>
      <c r="C79" s="25" t="s">
        <v>21</v>
      </c>
      <c r="D79" s="26"/>
      <c r="E79" s="3">
        <v>11787084</v>
      </c>
      <c r="F79" s="3">
        <v>12682119</v>
      </c>
      <c r="G79" s="26"/>
    </row>
    <row r="80" spans="1:7" ht="12.75">
      <c r="A80" s="25"/>
      <c r="B80" s="25"/>
      <c r="C80" s="25" t="s">
        <v>23</v>
      </c>
      <c r="D80" s="26"/>
      <c r="E80" s="3">
        <v>12168299.998000002</v>
      </c>
      <c r="F80" s="3">
        <v>12793393.492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22</v>
      </c>
      <c r="C82" s="25" t="s">
        <v>103</v>
      </c>
      <c r="D82" s="59"/>
      <c r="E82" s="26"/>
      <c r="F82" s="59"/>
      <c r="G82" s="26"/>
    </row>
    <row r="83" spans="1:7" ht="13.5" thickBot="1">
      <c r="A83" s="25"/>
      <c r="B83" s="25"/>
      <c r="C83" s="25" t="s">
        <v>104</v>
      </c>
      <c r="D83" s="59"/>
      <c r="E83" s="61"/>
      <c r="F83" s="55">
        <f>$F$79-$E$79</f>
        <v>895035</v>
      </c>
      <c r="G83" s="61"/>
    </row>
    <row r="84" spans="1:7" ht="13.5" thickBot="1">
      <c r="A84" s="25"/>
      <c r="B84" s="25"/>
      <c r="C84" s="25" t="s">
        <v>105</v>
      </c>
      <c r="D84" s="26"/>
      <c r="E84" s="26"/>
      <c r="F84" s="55">
        <f>$F$80-$E$80</f>
        <v>625093.493999999</v>
      </c>
      <c r="G84" s="26"/>
    </row>
    <row r="85" spans="1:7" ht="13.5" thickBot="1">
      <c r="A85" s="25"/>
      <c r="B85" s="25"/>
      <c r="C85" s="25" t="s">
        <v>106</v>
      </c>
      <c r="D85" s="59"/>
      <c r="E85" s="26"/>
      <c r="F85" s="55">
        <f>$F$84-$F$83</f>
        <v>-269941.506000001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24</v>
      </c>
      <c r="C87" s="25" t="s">
        <v>107</v>
      </c>
      <c r="D87" s="59"/>
      <c r="E87" s="57">
        <f>IF($E$79+$E$80&gt;0,E$76/(($E$79+$E$80)/2),0)</f>
        <v>0.04288425859029304</v>
      </c>
      <c r="F87" s="57">
        <f>IF($E$79+$E$80&gt;0,F$76/(($E$79+$E$80)/2),0)</f>
        <v>0.03950652980887357</v>
      </c>
      <c r="G87" s="61"/>
    </row>
    <row r="88" spans="1:7" ht="12.75">
      <c r="A88" s="25"/>
      <c r="B88" s="25" t="s">
        <v>25</v>
      </c>
      <c r="C88" s="25" t="s">
        <v>108</v>
      </c>
      <c r="D88" s="26"/>
      <c r="E88" s="57">
        <f>IF($F$79+$F$80&gt;0,(E$76+($F$80-$E$80)-($F$79-$E$79))/(($F$79+$F$80)/2),0)</f>
        <v>0.01913311342227416</v>
      </c>
      <c r="F88" s="57">
        <f>IF($F$79+$F$80&gt;0,(F$76+($F$80-$E$80)-($F$79-$E$79))/(($F$79+$F$80)/2),0)</f>
        <v>0.01595693433557632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26</v>
      </c>
      <c r="C90" s="25" t="s">
        <v>109</v>
      </c>
      <c r="D90" s="26"/>
      <c r="E90" s="59"/>
      <c r="F90" s="26"/>
      <c r="G90" s="62"/>
    </row>
    <row r="91" spans="1:7" ht="12.75">
      <c r="A91" s="25"/>
      <c r="B91" s="25"/>
      <c r="C91" s="25" t="s">
        <v>110</v>
      </c>
      <c r="D91" s="26"/>
      <c r="E91" s="68"/>
      <c r="F91" s="67">
        <v>0.05835</v>
      </c>
      <c r="G91" s="59"/>
    </row>
    <row r="92" spans="1:7" ht="12.75">
      <c r="A92" s="25"/>
      <c r="B92" s="25"/>
      <c r="C92" s="25" t="s">
        <v>111</v>
      </c>
      <c r="D92" s="26"/>
      <c r="E92" s="68"/>
      <c r="F92" s="67">
        <v>0.05574</v>
      </c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35</v>
      </c>
      <c r="C94" s="25" t="s">
        <v>37</v>
      </c>
      <c r="D94" s="26"/>
      <c r="E94" s="64"/>
      <c r="F94" s="26"/>
      <c r="G94" s="65"/>
    </row>
    <row r="95" spans="1:7" ht="12.75">
      <c r="A95" s="25"/>
      <c r="B95" s="25"/>
      <c r="C95" s="25" t="s">
        <v>112</v>
      </c>
      <c r="D95" s="26"/>
      <c r="E95" s="26"/>
      <c r="F95" s="8">
        <v>133962.34886915117</v>
      </c>
      <c r="G95" s="26"/>
    </row>
    <row r="96" spans="1:7" ht="12.75">
      <c r="A96" s="25"/>
      <c r="B96" s="25"/>
      <c r="C96" s="25" t="s">
        <v>113</v>
      </c>
      <c r="D96" s="26"/>
      <c r="E96" s="26"/>
      <c r="F96" s="8">
        <v>16055.651130848823</v>
      </c>
      <c r="G96" s="26"/>
    </row>
    <row r="97" spans="1:7" ht="13.5" thickBot="1">
      <c r="A97" s="25"/>
      <c r="B97" s="25"/>
      <c r="C97" s="25" t="s">
        <v>114</v>
      </c>
      <c r="D97" s="26"/>
      <c r="E97" s="61"/>
      <c r="F97" s="69">
        <v>29270</v>
      </c>
      <c r="G97" s="26"/>
    </row>
    <row r="98" spans="1:7" ht="13.5" thickBot="1">
      <c r="A98" s="25"/>
      <c r="B98" s="25"/>
      <c r="C98" s="25" t="s">
        <v>115</v>
      </c>
      <c r="D98" s="26"/>
      <c r="E98" s="61"/>
      <c r="F98" s="70">
        <f>SUM($F$95:$F$97)</f>
        <v>179288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36</v>
      </c>
      <c r="C100" s="25" t="s">
        <v>43</v>
      </c>
    </row>
    <row r="101" spans="1:6" ht="12.75">
      <c r="A101" s="25"/>
      <c r="B101" s="25"/>
      <c r="C101" s="25" t="s">
        <v>116</v>
      </c>
      <c r="F101" s="3">
        <f>$E$18</f>
        <v>40457.395</v>
      </c>
    </row>
    <row r="102" spans="1:6" ht="12.75">
      <c r="A102" s="25"/>
      <c r="B102" s="25"/>
      <c r="C102" s="25" t="s">
        <v>117</v>
      </c>
      <c r="F102" s="57">
        <f>IF($F$101&gt;0,$F$101/(($F$79+$F$80)/2),0)</f>
        <v>0.003176179086697841</v>
      </c>
    </row>
    <row r="103" spans="1:5" ht="12.75">
      <c r="A103" s="25"/>
      <c r="B103" s="25"/>
      <c r="C103" s="25" t="s">
        <v>9</v>
      </c>
      <c r="E103" s="5">
        <v>96412.129</v>
      </c>
    </row>
    <row r="104" spans="1:6" ht="13.5" thickBot="1">
      <c r="A104" s="25"/>
      <c r="B104" s="25"/>
      <c r="C104" s="25" t="s">
        <v>118</v>
      </c>
      <c r="E104" s="5">
        <v>907.657</v>
      </c>
      <c r="F104" s="55">
        <f>$E$103-$E$104</f>
        <v>95504.472</v>
      </c>
    </row>
    <row r="105" spans="1:6" ht="12.75">
      <c r="A105" s="25"/>
      <c r="B105" s="25"/>
      <c r="C105" s="25" t="s">
        <v>119</v>
      </c>
      <c r="F105" s="3">
        <f>IF(F$98&gt;0,(1000*F$104)/F$98,0)</f>
        <v>532.6874749007184</v>
      </c>
    </row>
    <row r="106" spans="1:6" ht="12.75">
      <c r="A106" s="25"/>
      <c r="B106" s="25"/>
      <c r="C106" s="25" t="s">
        <v>120</v>
      </c>
      <c r="F106" s="3">
        <f>IF($F$98&gt;0,$E$14*1000/$F$98,0)</f>
        <v>424.5872451028513</v>
      </c>
    </row>
    <row r="107" spans="1:3" ht="12.75">
      <c r="A107" s="25"/>
      <c r="B107" s="25"/>
      <c r="C107" s="25"/>
    </row>
    <row r="108" spans="1:3" ht="12.75">
      <c r="A108" s="48" t="s">
        <v>144</v>
      </c>
      <c r="B108" s="25"/>
      <c r="C108" s="25"/>
    </row>
    <row r="109" spans="1:7" ht="12.75">
      <c r="A109" s="25"/>
      <c r="B109" s="50" t="s">
        <v>56</v>
      </c>
      <c r="C109" s="25"/>
      <c r="D109" s="108" t="s">
        <v>142</v>
      </c>
      <c r="E109" s="108"/>
      <c r="F109" s="108" t="s">
        <v>143</v>
      </c>
      <c r="G109" s="108"/>
    </row>
    <row r="110" spans="1:6" ht="12.75">
      <c r="A110" s="25"/>
      <c r="B110" s="25"/>
      <c r="C110" s="25" t="s">
        <v>121</v>
      </c>
      <c r="D110" s="89">
        <v>362150</v>
      </c>
      <c r="F110" s="89">
        <v>111044</v>
      </c>
    </row>
    <row r="111" spans="1:6" ht="12.75">
      <c r="A111" s="25"/>
      <c r="B111" s="25"/>
      <c r="C111" s="25" t="s">
        <v>122</v>
      </c>
      <c r="D111" s="5">
        <v>149357.57</v>
      </c>
      <c r="F111" s="5">
        <v>61575.933</v>
      </c>
    </row>
    <row r="112" spans="1:7" ht="12.75">
      <c r="A112" s="25"/>
      <c r="B112" s="25"/>
      <c r="C112" s="25" t="s">
        <v>123</v>
      </c>
      <c r="D112" s="5">
        <v>66731.659</v>
      </c>
      <c r="E112" s="3">
        <f>SUM($D$110:$D$112)</f>
        <v>578239.229</v>
      </c>
      <c r="F112" s="5">
        <v>9391.739</v>
      </c>
      <c r="G112" s="3">
        <f>SUM($F$110:$F$112)</f>
        <v>182011.672</v>
      </c>
    </row>
    <row r="113" spans="1:3" ht="12.75">
      <c r="A113" s="25"/>
      <c r="B113" s="50" t="s">
        <v>57</v>
      </c>
      <c r="C113" s="25"/>
    </row>
    <row r="114" spans="1:6" ht="12.75">
      <c r="A114" s="25"/>
      <c r="B114" s="25"/>
      <c r="C114" s="25" t="s">
        <v>124</v>
      </c>
      <c r="D114" s="5">
        <v>230105.088</v>
      </c>
      <c r="F114" s="5">
        <v>63999.884</v>
      </c>
    </row>
    <row r="115" spans="1:6" ht="12.75">
      <c r="A115" s="25"/>
      <c r="B115" s="25"/>
      <c r="C115" s="25" t="s">
        <v>125</v>
      </c>
      <c r="D115" s="5">
        <v>108895.31400000001</v>
      </c>
      <c r="F115" s="5">
        <v>39274.201</v>
      </c>
    </row>
    <row r="116" spans="1:7" ht="12.75">
      <c r="A116" s="25"/>
      <c r="B116" s="25"/>
      <c r="C116" s="25" t="s">
        <v>126</v>
      </c>
      <c r="D116" s="5">
        <v>81065.748</v>
      </c>
      <c r="E116" s="3">
        <f>SUM($D$114:$D$116)</f>
        <v>420066.15</v>
      </c>
      <c r="F116" s="5">
        <v>15102.749899999999</v>
      </c>
      <c r="G116" s="3">
        <f>SUM($F$114:$F$116)</f>
        <v>118376.83489999999</v>
      </c>
    </row>
    <row r="117" spans="1:7" ht="14.25">
      <c r="A117" s="25"/>
      <c r="B117" s="51" t="s">
        <v>136</v>
      </c>
      <c r="C117" s="25"/>
      <c r="E117" s="3">
        <f>$E$112-$E$116</f>
        <v>158173.07900000003</v>
      </c>
      <c r="G117" s="3">
        <f>$G$112-$G$116</f>
        <v>63634.837100000004</v>
      </c>
    </row>
    <row r="118" spans="1:3" ht="12.75">
      <c r="A118" s="25"/>
      <c r="B118" s="50" t="s">
        <v>127</v>
      </c>
      <c r="C118" s="25"/>
    </row>
    <row r="119" spans="1:6" ht="12.75">
      <c r="A119" s="25"/>
      <c r="B119" s="25"/>
      <c r="C119" s="25" t="s">
        <v>128</v>
      </c>
      <c r="D119" s="5">
        <v>5630</v>
      </c>
      <c r="F119" s="5">
        <v>2700</v>
      </c>
    </row>
    <row r="120" spans="1:6" ht="12.75">
      <c r="A120" s="25"/>
      <c r="B120" s="25"/>
      <c r="C120" s="25" t="s">
        <v>129</v>
      </c>
      <c r="D120" s="5">
        <v>60670</v>
      </c>
      <c r="F120" s="5">
        <v>-2700</v>
      </c>
    </row>
    <row r="121" spans="1:6" ht="12.75">
      <c r="A121" s="25"/>
      <c r="B121" s="25"/>
      <c r="C121" s="25" t="s">
        <v>130</v>
      </c>
      <c r="D121" s="5">
        <v>0</v>
      </c>
      <c r="F121" s="5">
        <v>0</v>
      </c>
    </row>
    <row r="122" spans="1:6" ht="12.75">
      <c r="A122" s="25"/>
      <c r="B122" s="25"/>
      <c r="C122" s="25" t="s">
        <v>131</v>
      </c>
      <c r="D122" s="5">
        <v>15000</v>
      </c>
      <c r="F122" s="5">
        <v>-15000</v>
      </c>
    </row>
    <row r="123" spans="1:6" ht="12.75">
      <c r="A123" s="25"/>
      <c r="B123" s="25"/>
      <c r="C123" s="25" t="s">
        <v>132</v>
      </c>
      <c r="D123" s="5">
        <v>0</v>
      </c>
      <c r="F123" s="5">
        <v>0</v>
      </c>
    </row>
    <row r="124" spans="1:6" ht="12.75">
      <c r="A124" s="25"/>
      <c r="B124" s="25"/>
      <c r="C124" s="25" t="s">
        <v>133</v>
      </c>
      <c r="D124" s="5">
        <v>0</v>
      </c>
      <c r="F124" s="5">
        <v>20000</v>
      </c>
    </row>
    <row r="125" spans="1:6" ht="12.75">
      <c r="A125" s="25"/>
      <c r="B125" s="25"/>
      <c r="C125" s="25" t="s">
        <v>134</v>
      </c>
      <c r="D125" s="5">
        <v>0</v>
      </c>
      <c r="F125" s="5">
        <v>0</v>
      </c>
    </row>
    <row r="126" spans="1:7" ht="12.75">
      <c r="A126" s="25"/>
      <c r="B126" s="25"/>
      <c r="C126" s="25" t="s">
        <v>135</v>
      </c>
      <c r="D126" s="5">
        <v>0</v>
      </c>
      <c r="E126" s="3">
        <f>SUM($D$119:$D$126)</f>
        <v>81300</v>
      </c>
      <c r="F126" s="5">
        <v>0</v>
      </c>
      <c r="G126" s="3">
        <f>SUM($F$119:$F$126)</f>
        <v>5000</v>
      </c>
    </row>
    <row r="127" spans="1:5" ht="12.75">
      <c r="A127" s="25"/>
      <c r="B127" s="25" t="s">
        <v>58</v>
      </c>
      <c r="C127" s="25"/>
      <c r="E127" s="3">
        <v>0</v>
      </c>
    </row>
    <row r="128" spans="1:7" ht="13.5" thickBot="1">
      <c r="A128" s="25"/>
      <c r="B128" s="25" t="s">
        <v>59</v>
      </c>
      <c r="C128" s="25"/>
      <c r="E128" s="54">
        <v>30614</v>
      </c>
      <c r="G128" s="55">
        <v>44076</v>
      </c>
    </row>
    <row r="129" spans="1:7" ht="13.5" thickBot="1">
      <c r="A129" s="25"/>
      <c r="B129" s="25" t="s">
        <v>12</v>
      </c>
      <c r="C129" s="25"/>
      <c r="E129" s="55">
        <f>$E$117-SUM($E$126:$E$128)</f>
        <v>46259.07900000003</v>
      </c>
      <c r="G129" s="55">
        <f>$G$117-$G$126-$G$128</f>
        <v>14558.837100000004</v>
      </c>
    </row>
    <row r="130" spans="1:7" ht="12.75">
      <c r="A130" s="25"/>
      <c r="B130" s="25" t="s">
        <v>64</v>
      </c>
      <c r="C130" s="25"/>
      <c r="E130" s="57">
        <f>IF(E$112&gt;0,MIN(MAX((E$116+E$126+E$127+E$128)/E$112,0.9),1),0)</f>
        <v>0.9200001025872978</v>
      </c>
      <c r="G130" s="57">
        <f>IF(G$112&gt;0,MIN((G$116+G$126+G$127+G$128)/G$112,1),0)</f>
        <v>0.9200115193711313</v>
      </c>
    </row>
    <row r="131" spans="1:3" ht="12.75">
      <c r="A131" s="25"/>
      <c r="C131" s="25"/>
    </row>
    <row r="132" spans="1:6" ht="12.75">
      <c r="A132" s="25"/>
      <c r="B132" s="50" t="s">
        <v>60</v>
      </c>
      <c r="C132" s="25"/>
      <c r="F132" t="s">
        <v>141</v>
      </c>
    </row>
    <row r="133" spans="1:6" ht="12.75">
      <c r="A133" s="25"/>
      <c r="B133" s="25"/>
      <c r="C133" s="25" t="s">
        <v>61</v>
      </c>
      <c r="E133" s="3">
        <f>$E$129</f>
        <v>46259.07900000003</v>
      </c>
      <c r="F133" s="57">
        <f>IF($E$112&gt;0,$E$133/$E$112,0)</f>
        <v>0.07999989741270222</v>
      </c>
    </row>
    <row r="134" spans="1:6" ht="12.75">
      <c r="A134" s="25"/>
      <c r="B134" s="25"/>
      <c r="C134" s="25" t="s">
        <v>62</v>
      </c>
      <c r="E134" s="3">
        <f>$G$129</f>
        <v>14558.837100000004</v>
      </c>
      <c r="F134" s="57">
        <f>IF($G$112&gt;0,$E$134/$G$112,0)</f>
        <v>0.07998848062886871</v>
      </c>
    </row>
    <row r="135" spans="2:5" ht="12.75">
      <c r="B135" s="25"/>
      <c r="C135" s="25" t="s">
        <v>87</v>
      </c>
      <c r="E135" s="3">
        <f>SUM(E133:$E$134)</f>
        <v>60817.91610000003</v>
      </c>
    </row>
    <row r="137" spans="2:3" ht="12.75">
      <c r="B137" s="53" t="s">
        <v>137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43" right="0.16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tabColor indexed="1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47" t="s">
        <v>69</v>
      </c>
      <c r="B1" s="47"/>
      <c r="C1" s="25"/>
    </row>
    <row r="2" spans="1:3" ht="12.75">
      <c r="A2" s="25" t="s">
        <v>0</v>
      </c>
      <c r="B2" s="25"/>
      <c r="C2" s="25"/>
    </row>
    <row r="3" spans="1:3" ht="12.75">
      <c r="A3" s="48" t="s">
        <v>48</v>
      </c>
      <c r="B3" s="48"/>
      <c r="C3" s="25"/>
    </row>
    <row r="4" spans="1:3" ht="12.75">
      <c r="A4" s="25"/>
      <c r="B4" s="25"/>
      <c r="C4" s="25"/>
    </row>
    <row r="5" spans="1:3" ht="12.75">
      <c r="A5" s="25" t="s">
        <v>38</v>
      </c>
      <c r="B5" s="25"/>
      <c r="C5" s="25"/>
    </row>
    <row r="6" spans="1:3" ht="12.75">
      <c r="A6" s="25"/>
      <c r="B6" s="25"/>
      <c r="C6" s="25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</v>
      </c>
      <c r="F8" s="2" t="s">
        <v>2</v>
      </c>
      <c r="G8" s="2"/>
    </row>
    <row r="9" spans="1:3" ht="12.75">
      <c r="A9" s="48" t="s">
        <v>70</v>
      </c>
      <c r="B9" s="48"/>
      <c r="C9" s="25"/>
    </row>
    <row r="10" spans="1:6" ht="12.75">
      <c r="A10" s="48" t="s">
        <v>71</v>
      </c>
      <c r="B10" s="25"/>
      <c r="C10" s="25"/>
      <c r="E10" s="1"/>
      <c r="F10" s="1"/>
    </row>
    <row r="11" spans="1:3" ht="12.75">
      <c r="A11" s="25"/>
      <c r="B11" s="50" t="s">
        <v>75</v>
      </c>
      <c r="C11" s="25"/>
    </row>
    <row r="12" spans="1:6" ht="12.75">
      <c r="A12" s="25"/>
      <c r="B12" s="25"/>
      <c r="C12" s="25" t="s">
        <v>3</v>
      </c>
      <c r="E12" s="5">
        <f>$F$14-E$13-E$14</f>
        <v>13170.984492093006</v>
      </c>
      <c r="F12" s="1"/>
    </row>
    <row r="13" spans="1:6" ht="12.75">
      <c r="A13" s="25"/>
      <c r="B13" s="25"/>
      <c r="C13" s="25" t="s">
        <v>4</v>
      </c>
      <c r="E13" s="5">
        <v>2035.2781449336376</v>
      </c>
      <c r="F13" s="1"/>
    </row>
    <row r="14" spans="1:6" ht="12.75">
      <c r="A14" s="25"/>
      <c r="B14" s="25"/>
      <c r="C14" s="25" t="s">
        <v>5</v>
      </c>
      <c r="E14" s="5">
        <v>1129.901162973358</v>
      </c>
      <c r="F14" s="3">
        <v>16336.163800000002</v>
      </c>
    </row>
    <row r="15" spans="1:6" ht="12.75">
      <c r="A15" s="25"/>
      <c r="B15" s="50" t="s">
        <v>72</v>
      </c>
      <c r="C15" s="25"/>
      <c r="E15" s="1"/>
      <c r="F15" s="1"/>
    </row>
    <row r="16" spans="1:6" ht="12.75">
      <c r="A16" s="25"/>
      <c r="B16" s="25"/>
      <c r="C16" s="25" t="s">
        <v>72</v>
      </c>
      <c r="E16" s="5">
        <v>14313.890409999998</v>
      </c>
      <c r="F16" s="1"/>
    </row>
    <row r="17" spans="1:6" ht="12.75">
      <c r="A17" s="25"/>
      <c r="B17" s="25"/>
      <c r="C17" s="25" t="s">
        <v>73</v>
      </c>
      <c r="E17" s="5">
        <v>862.0033599999999</v>
      </c>
      <c r="F17" s="1"/>
    </row>
    <row r="18" spans="1:6" ht="12.75">
      <c r="A18" s="25"/>
      <c r="B18" s="25"/>
      <c r="C18" s="25" t="s">
        <v>74</v>
      </c>
      <c r="E18" s="5">
        <v>2108.6945</v>
      </c>
      <c r="F18" s="3">
        <f>$E$16-$E$17-$E$18</f>
        <v>11343.192549999998</v>
      </c>
    </row>
    <row r="19" spans="1:6" ht="12.75">
      <c r="A19" s="25"/>
      <c r="B19" s="25" t="s">
        <v>76</v>
      </c>
      <c r="C19" s="25"/>
      <c r="F19" s="3">
        <v>0</v>
      </c>
    </row>
    <row r="20" spans="1:6" ht="13.5" thickBot="1">
      <c r="A20" s="25"/>
      <c r="B20" s="25" t="s">
        <v>77</v>
      </c>
      <c r="C20" s="25"/>
      <c r="E20" s="6"/>
      <c r="F20" s="54">
        <v>1675.5406799999998</v>
      </c>
    </row>
    <row r="21" spans="1:6" ht="13.5" thickBot="1">
      <c r="A21" s="25"/>
      <c r="B21" s="47" t="s">
        <v>78</v>
      </c>
      <c r="C21" s="25"/>
      <c r="E21" s="6"/>
      <c r="F21" s="55">
        <f>$F$14+$F$18+$F$19+$F$20</f>
        <v>29354.89703</v>
      </c>
    </row>
    <row r="22" spans="1:5" ht="12.75">
      <c r="A22" s="25"/>
      <c r="B22" s="25"/>
      <c r="C22" s="25"/>
      <c r="E22" s="6"/>
    </row>
    <row r="23" spans="1:6" ht="12.75">
      <c r="A23" s="48" t="s">
        <v>79</v>
      </c>
      <c r="B23" s="25"/>
      <c r="C23" s="25"/>
      <c r="E23" s="6"/>
      <c r="F23" s="1"/>
    </row>
    <row r="24" spans="1:6" ht="12.75">
      <c r="A24" s="25"/>
      <c r="B24" s="50" t="s">
        <v>6</v>
      </c>
      <c r="C24" s="25"/>
      <c r="E24" s="6"/>
      <c r="F24" s="1"/>
    </row>
    <row r="25" spans="1:6" ht="12.75">
      <c r="A25" s="25"/>
      <c r="B25" s="25"/>
      <c r="C25" s="25" t="s">
        <v>7</v>
      </c>
      <c r="E25" s="5">
        <v>32583.864980000002</v>
      </c>
      <c r="F25" s="1"/>
    </row>
    <row r="26" spans="1:6" ht="12.75">
      <c r="A26" s="25"/>
      <c r="B26" s="25"/>
      <c r="C26" s="25" t="s">
        <v>8</v>
      </c>
      <c r="E26" s="5">
        <v>92759.492</v>
      </c>
      <c r="F26" s="1"/>
    </row>
    <row r="27" spans="1:6" ht="12.75">
      <c r="A27" s="25"/>
      <c r="B27" s="25"/>
      <c r="C27" s="25" t="s">
        <v>80</v>
      </c>
      <c r="E27" s="5">
        <v>35465.97135</v>
      </c>
      <c r="F27" s="3">
        <f>SUM($E$25:$E$27)</f>
        <v>160809.32833</v>
      </c>
    </row>
    <row r="28" spans="1:5" ht="12.75">
      <c r="A28" s="25"/>
      <c r="B28" s="50" t="s">
        <v>81</v>
      </c>
      <c r="C28" s="25"/>
      <c r="E28" s="1"/>
    </row>
    <row r="29" spans="1:6" ht="12.75">
      <c r="A29" s="25"/>
      <c r="B29" s="25"/>
      <c r="C29" s="25" t="s">
        <v>82</v>
      </c>
      <c r="E29" s="5">
        <v>-94488.49889999998</v>
      </c>
      <c r="F29" s="1"/>
    </row>
    <row r="30" spans="1:6" ht="12.75">
      <c r="A30" s="25"/>
      <c r="B30" s="25"/>
      <c r="C30" s="25" t="s">
        <v>83</v>
      </c>
      <c r="E30" s="5">
        <v>-25471.54779999997</v>
      </c>
      <c r="F30" s="1"/>
    </row>
    <row r="31" spans="1:6" ht="12.75">
      <c r="A31" s="25"/>
      <c r="B31" s="25"/>
      <c r="C31" s="25" t="s">
        <v>84</v>
      </c>
      <c r="D31" s="1"/>
      <c r="E31" s="5">
        <v>-11085.957269999999</v>
      </c>
      <c r="F31" s="1"/>
    </row>
    <row r="32" spans="1:6" ht="12.75">
      <c r="A32" s="25"/>
      <c r="B32" s="25"/>
      <c r="C32" s="25" t="s">
        <v>85</v>
      </c>
      <c r="D32" s="1"/>
      <c r="E32" s="5">
        <f>$F$32-SUM($E$29:$E$31)</f>
        <v>-2758.3450300000695</v>
      </c>
      <c r="F32" s="3">
        <v>-133804.34900000002</v>
      </c>
    </row>
    <row r="33" spans="1:6" ht="12.75">
      <c r="A33" s="25"/>
      <c r="B33" s="50" t="s">
        <v>9</v>
      </c>
      <c r="C33" s="25"/>
      <c r="D33" s="1"/>
      <c r="E33" s="1"/>
      <c r="F33" s="3">
        <v>2764.28406</v>
      </c>
    </row>
    <row r="34" spans="1:6" ht="12.75">
      <c r="A34" s="25"/>
      <c r="B34" s="25" t="s">
        <v>86</v>
      </c>
      <c r="C34" s="25"/>
      <c r="E34" s="1"/>
      <c r="F34" s="3">
        <v>0</v>
      </c>
    </row>
    <row r="35" spans="1:6" ht="12.75">
      <c r="A35" s="25"/>
      <c r="B35" s="25" t="s">
        <v>10</v>
      </c>
      <c r="C35" s="25"/>
      <c r="E35" s="1"/>
      <c r="F35" s="3">
        <v>0</v>
      </c>
    </row>
    <row r="36" spans="1:6" ht="12.75">
      <c r="A36" s="25"/>
      <c r="B36" s="25" t="s">
        <v>11</v>
      </c>
      <c r="C36" s="25"/>
      <c r="F36" s="3">
        <v>0</v>
      </c>
    </row>
    <row r="37" spans="1:6" ht="13.5" thickBot="1">
      <c r="A37" s="25"/>
      <c r="B37" s="25" t="s">
        <v>87</v>
      </c>
      <c r="C37" s="25"/>
      <c r="F37" s="54">
        <f>$F$38-($F$27+SUM($F$32:$F$36))</f>
        <v>-414.36635999997816</v>
      </c>
    </row>
    <row r="38" spans="1:6" ht="13.5" thickBot="1">
      <c r="A38" s="25"/>
      <c r="B38" s="25" t="s">
        <v>88</v>
      </c>
      <c r="C38" s="25"/>
      <c r="F38" s="55">
        <f>$F$14+$F$18+$F$19+$F$20</f>
        <v>29354.89703</v>
      </c>
    </row>
    <row r="39" spans="1:3" ht="12.75">
      <c r="A39" s="25"/>
      <c r="B39" s="25"/>
      <c r="C39" s="25"/>
    </row>
    <row r="40" spans="1:6" ht="12.75">
      <c r="A40" s="48" t="s">
        <v>89</v>
      </c>
      <c r="B40" s="25"/>
      <c r="C40" s="25"/>
      <c r="E40" s="1"/>
      <c r="F40" s="1"/>
    </row>
    <row r="41" spans="1:6" ht="12.75">
      <c r="A41" s="48" t="s">
        <v>90</v>
      </c>
      <c r="B41" s="25"/>
      <c r="C41" s="25"/>
      <c r="E41" s="1"/>
      <c r="F41" s="1"/>
    </row>
    <row r="42" spans="1:6" ht="12.75">
      <c r="A42" s="25"/>
      <c r="B42" s="50" t="s">
        <v>91</v>
      </c>
      <c r="C42" s="25"/>
      <c r="F42" s="1"/>
    </row>
    <row r="43" spans="1:7" ht="12.75">
      <c r="A43" s="25"/>
      <c r="B43" s="25"/>
      <c r="C43" s="25" t="s">
        <v>27</v>
      </c>
      <c r="E43" s="5">
        <v>26241.78484</v>
      </c>
      <c r="F43" s="56" t="s">
        <v>138</v>
      </c>
      <c r="G43" s="57">
        <f>IF(E43&gt;0,E43/$F$50,0)</f>
        <v>0.06954235585980133</v>
      </c>
    </row>
    <row r="44" spans="1:7" ht="12.75">
      <c r="A44" s="25"/>
      <c r="B44" s="25"/>
      <c r="C44" s="25" t="s">
        <v>28</v>
      </c>
      <c r="E44" s="5">
        <v>180909.55164</v>
      </c>
      <c r="F44" s="56" t="s">
        <v>138</v>
      </c>
      <c r="G44" s="57">
        <f aca="true" t="shared" si="0" ref="G44:G50">IF(E44&gt;0,E44/$F$50,0)</f>
        <v>0.47942152164166524</v>
      </c>
    </row>
    <row r="45" spans="1:7" ht="12.75">
      <c r="A45" s="25"/>
      <c r="B45" s="25"/>
      <c r="C45" s="25" t="s">
        <v>29</v>
      </c>
      <c r="E45" s="5">
        <v>84004.30375</v>
      </c>
      <c r="F45" s="56" t="s">
        <v>138</v>
      </c>
      <c r="G45" s="57">
        <f t="shared" si="0"/>
        <v>0.222616610141269</v>
      </c>
    </row>
    <row r="46" spans="1:7" ht="12.75">
      <c r="A46" s="25"/>
      <c r="B46" s="25"/>
      <c r="C46" s="25" t="s">
        <v>30</v>
      </c>
      <c r="E46" s="5">
        <v>17839.82572</v>
      </c>
      <c r="F46" s="56" t="s">
        <v>138</v>
      </c>
      <c r="G46" s="57">
        <f t="shared" si="0"/>
        <v>0.047276643576697974</v>
      </c>
    </row>
    <row r="47" spans="1:7" ht="12.75">
      <c r="A47" s="25"/>
      <c r="B47" s="25"/>
      <c r="C47" s="25" t="s">
        <v>31</v>
      </c>
      <c r="E47" s="5">
        <v>0</v>
      </c>
      <c r="F47" s="56" t="s">
        <v>138</v>
      </c>
      <c r="G47" s="57">
        <f t="shared" si="0"/>
        <v>0</v>
      </c>
    </row>
    <row r="48" spans="1:7" ht="12.75">
      <c r="A48" s="25"/>
      <c r="B48" s="25"/>
      <c r="C48" s="25" t="s">
        <v>32</v>
      </c>
      <c r="E48" s="5">
        <v>0</v>
      </c>
      <c r="F48" s="56" t="s">
        <v>138</v>
      </c>
      <c r="G48" s="57">
        <f t="shared" si="0"/>
        <v>0</v>
      </c>
    </row>
    <row r="49" spans="1:7" ht="12.75">
      <c r="A49" s="25"/>
      <c r="B49" s="25"/>
      <c r="C49" s="25" t="s">
        <v>33</v>
      </c>
      <c r="E49" s="5">
        <v>68354.20125</v>
      </c>
      <c r="F49" s="56" t="s">
        <v>138</v>
      </c>
      <c r="G49" s="57">
        <f t="shared" si="0"/>
        <v>0.18114286878056637</v>
      </c>
    </row>
    <row r="50" spans="1:7" ht="13.5" thickBot="1">
      <c r="A50" s="25"/>
      <c r="B50" s="25"/>
      <c r="C50" s="25" t="s">
        <v>34</v>
      </c>
      <c r="E50" s="5">
        <v>0</v>
      </c>
      <c r="F50" s="55">
        <f>SUM($E$43:$E$50)</f>
        <v>377349.6672</v>
      </c>
      <c r="G50" s="57">
        <f t="shared" si="0"/>
        <v>0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92</v>
      </c>
      <c r="B52" s="25"/>
      <c r="C52" s="25"/>
      <c r="E52" s="6"/>
      <c r="F52" s="6"/>
    </row>
    <row r="53" spans="1:3" ht="12.75">
      <c r="A53" s="25"/>
      <c r="B53" s="50" t="s">
        <v>93</v>
      </c>
      <c r="C53" s="25"/>
    </row>
    <row r="54" spans="1:5" ht="12.75">
      <c r="A54" s="25"/>
      <c r="B54" s="25"/>
      <c r="C54" s="25" t="s">
        <v>82</v>
      </c>
      <c r="E54" s="5">
        <v>61375.730100000015</v>
      </c>
    </row>
    <row r="55" spans="1:5" ht="12.75">
      <c r="A55" s="25"/>
      <c r="B55" s="25"/>
      <c r="C55" s="25" t="s">
        <v>83</v>
      </c>
      <c r="E55" s="5">
        <v>193985.06620000003</v>
      </c>
    </row>
    <row r="56" spans="1:5" ht="12.75">
      <c r="A56" s="25"/>
      <c r="B56" s="25"/>
      <c r="C56" s="25" t="s">
        <v>84</v>
      </c>
      <c r="E56" s="5">
        <v>61329.96673</v>
      </c>
    </row>
    <row r="57" spans="1:6" ht="12.75">
      <c r="A57" s="25"/>
      <c r="B57" s="25"/>
      <c r="C57" s="25" t="s">
        <v>94</v>
      </c>
      <c r="E57" s="5">
        <v>23455.123529999997</v>
      </c>
      <c r="F57" s="3">
        <f>SUM($E$54:$E$57)</f>
        <v>340145.88656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95</v>
      </c>
      <c r="B59" s="25"/>
      <c r="C59" s="25"/>
      <c r="E59" s="1"/>
      <c r="F59" s="1"/>
    </row>
    <row r="60" spans="1:6" ht="12.75">
      <c r="A60" s="25"/>
      <c r="B60" s="25"/>
      <c r="C60" s="25" t="s">
        <v>13</v>
      </c>
      <c r="F60" s="3">
        <v>0</v>
      </c>
    </row>
    <row r="61" spans="1:6" ht="12.75">
      <c r="A61" s="25"/>
      <c r="B61" s="25"/>
      <c r="C61" s="25" t="s">
        <v>14</v>
      </c>
      <c r="F61" s="3">
        <f>$F$36</f>
        <v>0</v>
      </c>
    </row>
    <row r="62" spans="1:6" ht="12.75">
      <c r="A62" s="25"/>
      <c r="B62" s="25"/>
      <c r="C62" s="25" t="s">
        <v>139</v>
      </c>
      <c r="F62" s="3">
        <v>0</v>
      </c>
    </row>
    <row r="63" spans="1:6" ht="12.75">
      <c r="A63" s="25"/>
      <c r="B63" s="25"/>
      <c r="C63" s="25" t="s">
        <v>15</v>
      </c>
      <c r="E63" s="5">
        <v>0</v>
      </c>
      <c r="F63" s="1"/>
    </row>
    <row r="64" spans="1:6" ht="13.5" thickBot="1">
      <c r="A64" s="25"/>
      <c r="B64" s="25"/>
      <c r="C64" s="25" t="s">
        <v>96</v>
      </c>
      <c r="E64" s="5">
        <v>0</v>
      </c>
      <c r="F64" s="55">
        <f>$E$64+$E$63</f>
        <v>0</v>
      </c>
    </row>
    <row r="65" spans="1:6" ht="13.5" thickBot="1">
      <c r="A65" s="25"/>
      <c r="B65" s="25"/>
      <c r="C65" s="25" t="s">
        <v>16</v>
      </c>
      <c r="F65" s="55">
        <f>$F$60+$F$61+$F$62-$F$64</f>
        <v>0</v>
      </c>
    </row>
    <row r="66" spans="1:6" ht="12.75">
      <c r="A66" s="25"/>
      <c r="B66" s="25"/>
      <c r="C66" s="25"/>
      <c r="F66" s="1"/>
    </row>
    <row r="67" spans="1:6" ht="12.75">
      <c r="A67" s="48" t="s">
        <v>97</v>
      </c>
      <c r="B67" s="25"/>
      <c r="C67" s="25"/>
      <c r="F67" s="1"/>
    </row>
    <row r="68" spans="1:6" ht="12.75">
      <c r="A68" s="25"/>
      <c r="B68" s="25"/>
      <c r="C68" s="25" t="s">
        <v>13</v>
      </c>
      <c r="E68" s="26"/>
      <c r="F68" s="3">
        <v>11544.061999999998</v>
      </c>
    </row>
    <row r="69" spans="1:6" ht="12.75">
      <c r="A69" s="25"/>
      <c r="B69" s="25"/>
      <c r="C69" s="25" t="s">
        <v>54</v>
      </c>
      <c r="E69" s="5">
        <v>25.4053</v>
      </c>
      <c r="F69" s="58"/>
    </row>
    <row r="70" spans="1:6" ht="12.75">
      <c r="A70" s="25"/>
      <c r="B70" s="25"/>
      <c r="C70" s="25" t="s">
        <v>98</v>
      </c>
      <c r="E70" s="5">
        <v>57.72031</v>
      </c>
      <c r="F70" s="3">
        <f>$E$69+$E$70</f>
        <v>83.12561</v>
      </c>
    </row>
    <row r="71" spans="1:6" ht="12.75">
      <c r="A71" s="25"/>
      <c r="B71" s="25"/>
      <c r="C71" s="25" t="s">
        <v>55</v>
      </c>
      <c r="E71" s="5">
        <v>83.19960999999807</v>
      </c>
      <c r="F71" s="60"/>
    </row>
    <row r="72" spans="1:6" ht="13.5" thickBot="1">
      <c r="A72" s="49"/>
      <c r="B72" s="49"/>
      <c r="C72" s="25" t="s">
        <v>99</v>
      </c>
      <c r="E72" s="5">
        <v>2556.7488700000013</v>
      </c>
      <c r="F72" s="55">
        <f>$E$72+$E$71</f>
        <v>2639.948479999999</v>
      </c>
    </row>
    <row r="73" spans="1:6" ht="13.5" thickBot="1">
      <c r="A73" s="49"/>
      <c r="B73" s="49"/>
      <c r="C73" s="25" t="s">
        <v>16</v>
      </c>
      <c r="E73" s="26"/>
      <c r="F73" s="55">
        <f>$F$68+$F$70-$F$72</f>
        <v>8987.239129999998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100</v>
      </c>
      <c r="B75" s="49"/>
      <c r="C75" s="25"/>
      <c r="E75" s="60"/>
      <c r="F75" s="61"/>
    </row>
    <row r="76" spans="1:7" ht="13.5" thickBot="1">
      <c r="A76" s="25"/>
      <c r="B76" s="25" t="s">
        <v>17</v>
      </c>
      <c r="C76" s="25" t="s">
        <v>101</v>
      </c>
      <c r="D76" s="26"/>
      <c r="E76" s="55">
        <f>$E$16-$E$17</f>
        <v>13451.887049999998</v>
      </c>
      <c r="F76" s="55">
        <f>$F$18</f>
        <v>11343.192549999998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12.75">
      <c r="A78" s="25"/>
      <c r="B78" s="25" t="s">
        <v>20</v>
      </c>
      <c r="C78" s="25" t="s">
        <v>102</v>
      </c>
      <c r="D78" s="26"/>
      <c r="E78" s="58" t="s">
        <v>18</v>
      </c>
      <c r="F78" s="58" t="s">
        <v>19</v>
      </c>
      <c r="G78" s="26"/>
    </row>
    <row r="79" spans="1:7" ht="12.75">
      <c r="A79" s="25"/>
      <c r="B79" s="25"/>
      <c r="C79" s="25" t="s">
        <v>21</v>
      </c>
      <c r="D79" s="26"/>
      <c r="E79" s="3">
        <v>535839.777</v>
      </c>
      <c r="F79" s="3">
        <v>508053</v>
      </c>
      <c r="G79" s="26"/>
    </row>
    <row r="80" spans="1:7" ht="12.75">
      <c r="A80" s="25"/>
      <c r="B80" s="25"/>
      <c r="C80" s="25" t="s">
        <v>23</v>
      </c>
      <c r="D80" s="26"/>
      <c r="E80" s="3">
        <v>377349.66719999997</v>
      </c>
      <c r="F80" s="3">
        <v>357487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22</v>
      </c>
      <c r="C82" s="25" t="s">
        <v>103</v>
      </c>
      <c r="D82" s="59"/>
      <c r="E82" s="26"/>
      <c r="F82" s="59"/>
      <c r="G82" s="26"/>
    </row>
    <row r="83" spans="1:7" ht="13.5" thickBot="1">
      <c r="A83" s="25"/>
      <c r="B83" s="25"/>
      <c r="C83" s="25" t="s">
        <v>104</v>
      </c>
      <c r="D83" s="59"/>
      <c r="E83" s="61"/>
      <c r="F83" s="55">
        <f>$F$79-$E$79</f>
        <v>-27786.777000000002</v>
      </c>
      <c r="G83" s="61"/>
    </row>
    <row r="84" spans="1:7" ht="13.5" thickBot="1">
      <c r="A84" s="25"/>
      <c r="B84" s="25"/>
      <c r="C84" s="25" t="s">
        <v>105</v>
      </c>
      <c r="D84" s="26"/>
      <c r="E84" s="26"/>
      <c r="F84" s="55">
        <f>$F$80-$E$80</f>
        <v>-19862.667199999967</v>
      </c>
      <c r="G84" s="26"/>
    </row>
    <row r="85" spans="1:7" ht="13.5" thickBot="1">
      <c r="A85" s="25"/>
      <c r="B85" s="25"/>
      <c r="C85" s="25" t="s">
        <v>106</v>
      </c>
      <c r="D85" s="59"/>
      <c r="E85" s="26"/>
      <c r="F85" s="55">
        <f>$F$84-$F$83</f>
        <v>7924.109800000035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24</v>
      </c>
      <c r="C87" s="25" t="s">
        <v>107</v>
      </c>
      <c r="D87" s="59"/>
      <c r="E87" s="57">
        <f>IF($E$79+$E$80&gt;0,E$76/(($E$79+$E$80)/2),0)</f>
        <v>0.02946132839234586</v>
      </c>
      <c r="F87" s="57">
        <f>IF($E$79+$E$80&gt;0,F$76/(($E$79+$E$80)/2),0)</f>
        <v>0.024843021614068712</v>
      </c>
      <c r="G87" s="61"/>
    </row>
    <row r="88" spans="1:7" ht="12.75">
      <c r="A88" s="25"/>
      <c r="B88" s="25" t="s">
        <v>25</v>
      </c>
      <c r="C88" s="25" t="s">
        <v>108</v>
      </c>
      <c r="D88" s="26"/>
      <c r="E88" s="57">
        <f>IF($F$79+$F$80&gt;0,(E$76+($F$80-$E$80)-($F$79-$E$79))/(($F$79+$F$80)/2),0)</f>
        <v>0.04939343496545517</v>
      </c>
      <c r="F88" s="57">
        <f>IF($F$79+$F$80&gt;0,(F$76+($F$80-$E$80)-($F$79-$E$79))/(($F$79+$F$80)/2),0)</f>
        <v>0.04452088257041854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26</v>
      </c>
      <c r="C90" s="25" t="s">
        <v>109</v>
      </c>
      <c r="D90" s="26"/>
      <c r="E90" s="59"/>
      <c r="F90" s="26"/>
      <c r="G90" s="62"/>
    </row>
    <row r="91" spans="1:7" ht="12.75">
      <c r="A91" s="25"/>
      <c r="B91" s="25"/>
      <c r="C91" s="25" t="s">
        <v>110</v>
      </c>
      <c r="D91" s="26"/>
      <c r="E91" s="68"/>
      <c r="F91" s="67">
        <v>0.071</v>
      </c>
      <c r="G91" s="59"/>
    </row>
    <row r="92" spans="1:7" ht="12.75">
      <c r="A92" s="25"/>
      <c r="B92" s="25"/>
      <c r="C92" s="25" t="s">
        <v>111</v>
      </c>
      <c r="D92" s="26"/>
      <c r="E92" s="68"/>
      <c r="F92" s="67">
        <v>0.0715</v>
      </c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35</v>
      </c>
      <c r="C94" s="25" t="s">
        <v>37</v>
      </c>
      <c r="D94" s="26"/>
      <c r="E94" s="64"/>
      <c r="F94" s="26"/>
      <c r="G94" s="65"/>
    </row>
    <row r="95" spans="1:7" ht="12.75">
      <c r="A95" s="25"/>
      <c r="B95" s="25"/>
      <c r="C95" s="25" t="s">
        <v>112</v>
      </c>
      <c r="D95" s="26"/>
      <c r="E95" s="26"/>
      <c r="F95" s="8">
        <v>541</v>
      </c>
      <c r="G95" s="26"/>
    </row>
    <row r="96" spans="1:7" ht="12.75">
      <c r="A96" s="25"/>
      <c r="B96" s="25"/>
      <c r="C96" s="25" t="s">
        <v>113</v>
      </c>
      <c r="D96" s="26"/>
      <c r="E96" s="26"/>
      <c r="F96" s="8">
        <v>1577</v>
      </c>
      <c r="G96" s="26"/>
    </row>
    <row r="97" spans="1:7" ht="13.5" thickBot="1">
      <c r="A97" s="25"/>
      <c r="B97" s="25"/>
      <c r="C97" s="25" t="s">
        <v>114</v>
      </c>
      <c r="D97" s="26"/>
      <c r="E97" s="61"/>
      <c r="F97" s="69">
        <v>5085</v>
      </c>
      <c r="G97" s="26"/>
    </row>
    <row r="98" spans="1:7" ht="13.5" thickBot="1">
      <c r="A98" s="25"/>
      <c r="B98" s="25"/>
      <c r="C98" s="25" t="s">
        <v>115</v>
      </c>
      <c r="D98" s="26"/>
      <c r="E98" s="61"/>
      <c r="F98" s="70">
        <f>SUM($F$95:$F$97)</f>
        <v>7203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36</v>
      </c>
      <c r="C100" s="25" t="s">
        <v>43</v>
      </c>
    </row>
    <row r="101" spans="1:6" ht="12.75">
      <c r="A101" s="25"/>
      <c r="B101" s="25"/>
      <c r="C101" s="25" t="s">
        <v>116</v>
      </c>
      <c r="F101" s="3">
        <f>$E$18</f>
        <v>2108.6945</v>
      </c>
    </row>
    <row r="102" spans="1:6" ht="12.75">
      <c r="A102" s="25"/>
      <c r="B102" s="25"/>
      <c r="C102" s="25" t="s">
        <v>117</v>
      </c>
      <c r="F102" s="57">
        <f>IF($F$101&gt;0,$F$101/(($F$79+$F$80)/2),0)</f>
        <v>0.0048725523950366246</v>
      </c>
    </row>
    <row r="103" spans="1:5" ht="12.75">
      <c r="A103" s="25"/>
      <c r="B103" s="25"/>
      <c r="C103" s="25" t="s">
        <v>9</v>
      </c>
      <c r="E103" s="5">
        <v>2764.28406</v>
      </c>
    </row>
    <row r="104" spans="1:6" ht="13.5" thickBot="1">
      <c r="A104" s="25"/>
      <c r="B104" s="25"/>
      <c r="C104" s="25" t="s">
        <v>118</v>
      </c>
      <c r="E104" s="5">
        <v>0</v>
      </c>
      <c r="F104" s="55">
        <f>$E$103-$E$104</f>
        <v>2764.28406</v>
      </c>
    </row>
    <row r="105" spans="1:6" ht="12.75">
      <c r="A105" s="25"/>
      <c r="B105" s="25"/>
      <c r="C105" s="25" t="s">
        <v>119</v>
      </c>
      <c r="F105" s="3">
        <f>IF(F$98&gt;0,(1000*F$104)/F$98,0)</f>
        <v>383.7684381507705</v>
      </c>
    </row>
    <row r="106" spans="1:6" ht="12.75">
      <c r="A106" s="25"/>
      <c r="B106" s="25"/>
      <c r="C106" s="25" t="s">
        <v>120</v>
      </c>
      <c r="F106" s="3">
        <f>IF($F$98&gt;0,$E$14*1000/$F$98,0)</f>
        <v>156.8653565144187</v>
      </c>
    </row>
    <row r="107" spans="1:3" ht="12.75">
      <c r="A107" s="25"/>
      <c r="B107" s="25"/>
      <c r="C107" s="25"/>
    </row>
    <row r="108" spans="1:3" ht="12.75">
      <c r="A108" s="48" t="s">
        <v>144</v>
      </c>
      <c r="B108" s="25"/>
      <c r="C108" s="25"/>
    </row>
    <row r="109" spans="1:7" ht="12.75">
      <c r="A109" s="25"/>
      <c r="B109" s="50" t="s">
        <v>56</v>
      </c>
      <c r="C109" s="25"/>
      <c r="D109" s="108" t="s">
        <v>142</v>
      </c>
      <c r="E109" s="108"/>
      <c r="F109" s="108" t="s">
        <v>143</v>
      </c>
      <c r="G109" s="108"/>
    </row>
    <row r="110" spans="1:6" ht="12.75">
      <c r="A110" s="25"/>
      <c r="B110" s="25"/>
      <c r="C110" s="25" t="s">
        <v>121</v>
      </c>
      <c r="D110" s="89">
        <v>11342</v>
      </c>
      <c r="F110" s="89">
        <v>0</v>
      </c>
    </row>
    <row r="111" spans="1:6" ht="12.75">
      <c r="A111" s="25"/>
      <c r="B111" s="25"/>
      <c r="C111" s="25" t="s">
        <v>122</v>
      </c>
      <c r="D111" s="5">
        <v>2035.2781449336376</v>
      </c>
      <c r="F111" s="5">
        <v>0</v>
      </c>
    </row>
    <row r="112" spans="1:7" ht="12.75">
      <c r="A112" s="25"/>
      <c r="B112" s="25"/>
      <c r="C112" s="25" t="s">
        <v>123</v>
      </c>
      <c r="D112" s="5">
        <v>1129.901162973358</v>
      </c>
      <c r="E112" s="3">
        <f>SUM($D$110:$D$112)</f>
        <v>14507.179307906996</v>
      </c>
      <c r="F112" s="5">
        <v>0</v>
      </c>
      <c r="G112" s="3">
        <f>SUM($F$110:$F$112)</f>
        <v>0</v>
      </c>
    </row>
    <row r="113" spans="1:3" ht="12.75">
      <c r="A113" s="25"/>
      <c r="B113" s="50" t="s">
        <v>57</v>
      </c>
      <c r="C113" s="25"/>
    </row>
    <row r="114" spans="1:6" ht="12.75">
      <c r="A114" s="25"/>
      <c r="B114" s="25"/>
      <c r="C114" s="25" t="s">
        <v>124</v>
      </c>
      <c r="D114" s="5">
        <v>8139.735693032022</v>
      </c>
      <c r="F114" s="5">
        <v>0</v>
      </c>
    </row>
    <row r="115" spans="1:6" ht="12.75">
      <c r="A115" s="25"/>
      <c r="B115" s="25"/>
      <c r="C115" s="25" t="s">
        <v>125</v>
      </c>
      <c r="D115" s="5">
        <v>4573.141174875007</v>
      </c>
      <c r="F115" s="5">
        <v>132.80559999999997</v>
      </c>
    </row>
    <row r="116" spans="1:7" ht="12.75">
      <c r="A116" s="25"/>
      <c r="B116" s="25"/>
      <c r="C116" s="25" t="s">
        <v>126</v>
      </c>
      <c r="D116" s="5">
        <v>2600.94423</v>
      </c>
      <c r="E116" s="3">
        <f>SUM($D$114:$D$116)</f>
        <v>15313.821097907028</v>
      </c>
      <c r="F116" s="5">
        <v>0</v>
      </c>
      <c r="G116" s="3">
        <f>SUM($F$114:$F$116)</f>
        <v>132.80559999999997</v>
      </c>
    </row>
    <row r="117" spans="1:7" ht="14.25">
      <c r="A117" s="25"/>
      <c r="B117" s="51" t="s">
        <v>136</v>
      </c>
      <c r="C117" s="25"/>
      <c r="E117" s="3">
        <f>$E$112-$E$116</f>
        <v>-806.6417900000324</v>
      </c>
      <c r="G117" s="3">
        <f>$G$112-$G$116</f>
        <v>-132.80559999999997</v>
      </c>
    </row>
    <row r="118" spans="1:3" ht="12.75">
      <c r="A118" s="25"/>
      <c r="B118" s="50" t="s">
        <v>127</v>
      </c>
      <c r="C118" s="25"/>
    </row>
    <row r="119" spans="1:6" ht="12.75">
      <c r="A119" s="25"/>
      <c r="B119" s="25"/>
      <c r="C119" s="25" t="s">
        <v>128</v>
      </c>
      <c r="D119" s="5">
        <v>0</v>
      </c>
      <c r="F119" s="5">
        <v>0</v>
      </c>
    </row>
    <row r="120" spans="1:6" ht="12.75">
      <c r="A120" s="25"/>
      <c r="B120" s="25"/>
      <c r="C120" s="25" t="s">
        <v>129</v>
      </c>
      <c r="D120" s="5">
        <v>197.66851999999955</v>
      </c>
      <c r="F120" s="5">
        <v>0</v>
      </c>
    </row>
    <row r="121" spans="1:6" ht="12.75">
      <c r="A121" s="25"/>
      <c r="B121" s="25"/>
      <c r="C121" s="25" t="s">
        <v>130</v>
      </c>
      <c r="D121" s="5">
        <v>-721.5570000000012</v>
      </c>
      <c r="F121" s="5">
        <v>0</v>
      </c>
    </row>
    <row r="122" spans="1:6" ht="12.75">
      <c r="A122" s="25"/>
      <c r="B122" s="25"/>
      <c r="C122" s="25" t="s">
        <v>131</v>
      </c>
      <c r="D122" s="5">
        <v>0</v>
      </c>
      <c r="F122" s="5">
        <v>0</v>
      </c>
    </row>
    <row r="123" spans="1:6" ht="12.75">
      <c r="A123" s="25"/>
      <c r="B123" s="25"/>
      <c r="C123" s="25" t="s">
        <v>132</v>
      </c>
      <c r="D123" s="5">
        <v>0</v>
      </c>
      <c r="F123" s="5">
        <v>0</v>
      </c>
    </row>
    <row r="124" spans="1:6" ht="12.75">
      <c r="A124" s="25"/>
      <c r="B124" s="25"/>
      <c r="C124" s="25" t="s">
        <v>133</v>
      </c>
      <c r="D124" s="5">
        <v>0</v>
      </c>
      <c r="F124" s="5">
        <v>0</v>
      </c>
    </row>
    <row r="125" spans="1:6" ht="12.75">
      <c r="A125" s="25"/>
      <c r="B125" s="25"/>
      <c r="C125" s="25" t="s">
        <v>134</v>
      </c>
      <c r="D125" s="5">
        <v>0</v>
      </c>
      <c r="F125" s="5">
        <v>0</v>
      </c>
    </row>
    <row r="126" spans="1:7" ht="12.75">
      <c r="A126" s="25"/>
      <c r="B126" s="25"/>
      <c r="C126" s="25" t="s">
        <v>135</v>
      </c>
      <c r="D126" s="5">
        <v>0</v>
      </c>
      <c r="E126" s="3">
        <f>SUM($D$119:$D$126)</f>
        <v>-523.8884800000017</v>
      </c>
      <c r="F126" s="5">
        <v>0</v>
      </c>
      <c r="G126" s="3">
        <f>SUM($F$119:$F$126)</f>
        <v>0</v>
      </c>
    </row>
    <row r="127" spans="1:5" ht="12.75">
      <c r="A127" s="25"/>
      <c r="B127" s="25" t="s">
        <v>58</v>
      </c>
      <c r="C127" s="25"/>
      <c r="E127" s="3">
        <v>0</v>
      </c>
    </row>
    <row r="128" spans="1:7" ht="13.5" thickBot="1">
      <c r="A128" s="25"/>
      <c r="B128" s="25" t="s">
        <v>59</v>
      </c>
      <c r="C128" s="25"/>
      <c r="E128" s="54">
        <v>0</v>
      </c>
      <c r="G128" s="55">
        <v>0</v>
      </c>
    </row>
    <row r="129" spans="1:7" ht="13.5" thickBot="1">
      <c r="A129" s="25"/>
      <c r="B129" s="25" t="s">
        <v>12</v>
      </c>
      <c r="C129" s="25"/>
      <c r="E129" s="55">
        <f>$E$117-SUM($E$126:$E$128)</f>
        <v>-282.75331000003075</v>
      </c>
      <c r="G129" s="55">
        <f>$G$117-$G$126-$G$128</f>
        <v>-132.80559999999997</v>
      </c>
    </row>
    <row r="130" spans="1:7" ht="12.75">
      <c r="A130" s="25"/>
      <c r="B130" s="25" t="s">
        <v>64</v>
      </c>
      <c r="C130" s="25"/>
      <c r="E130" s="57">
        <f>IF(E$112&gt;0,MIN(MAX((E$116+E$126+E$127+E$128)/E$112,0.9),1),0)</f>
        <v>1</v>
      </c>
      <c r="G130" s="57">
        <f>IF(G$112&gt;0,MIN((G$116+G$126+G$127+G$128)/G$112,1),0)</f>
        <v>0</v>
      </c>
    </row>
    <row r="131" spans="1:3" ht="12.75">
      <c r="A131" s="25"/>
      <c r="C131" s="25"/>
    </row>
    <row r="132" spans="1:6" ht="12.75">
      <c r="A132" s="25"/>
      <c r="B132" s="50" t="s">
        <v>60</v>
      </c>
      <c r="C132" s="25"/>
      <c r="F132" t="s">
        <v>141</v>
      </c>
    </row>
    <row r="133" spans="1:6" ht="12.75">
      <c r="A133" s="25"/>
      <c r="B133" s="25"/>
      <c r="C133" s="25" t="s">
        <v>61</v>
      </c>
      <c r="E133" s="3">
        <f>$E$129</f>
        <v>-282.75331000003075</v>
      </c>
      <c r="F133" s="57">
        <f>IF($E$112&gt;0,$E$133/$E$112,0)</f>
        <v>-0.019490578009601002</v>
      </c>
    </row>
    <row r="134" spans="1:6" ht="12.75">
      <c r="A134" s="25"/>
      <c r="B134" s="25"/>
      <c r="C134" s="25" t="s">
        <v>62</v>
      </c>
      <c r="E134" s="3">
        <f>$G$129</f>
        <v>-132.80559999999997</v>
      </c>
      <c r="F134" s="57">
        <f>IF($G$112&gt;0,$E$134/$G$112,0)</f>
        <v>0</v>
      </c>
    </row>
    <row r="135" spans="2:5" ht="12.75">
      <c r="B135" s="25"/>
      <c r="C135" s="25" t="s">
        <v>87</v>
      </c>
      <c r="E135" s="3">
        <f>SUM(E133:$E$134)</f>
        <v>-415.5589100000307</v>
      </c>
    </row>
    <row r="137" spans="2:3" ht="12.75">
      <c r="B137" s="53" t="s">
        <v>137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43" right="0.16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>
    <tabColor indexed="1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47" t="s">
        <v>69</v>
      </c>
      <c r="B1" s="47"/>
      <c r="C1" s="25"/>
    </row>
    <row r="2" spans="1:3" ht="12.75">
      <c r="A2" s="25" t="s">
        <v>0</v>
      </c>
      <c r="B2" s="25"/>
      <c r="C2" s="25"/>
    </row>
    <row r="3" spans="1:3" ht="12.75">
      <c r="A3" s="48" t="s">
        <v>63</v>
      </c>
      <c r="B3" s="48"/>
      <c r="C3" s="25"/>
    </row>
    <row r="4" spans="1:3" ht="12.75">
      <c r="A4" s="25"/>
      <c r="B4" s="25"/>
      <c r="C4" s="25"/>
    </row>
    <row r="5" spans="1:3" ht="12.75">
      <c r="A5" s="25" t="s">
        <v>38</v>
      </c>
      <c r="B5" s="25"/>
      <c r="C5" s="25"/>
    </row>
    <row r="6" spans="1:3" ht="12.75">
      <c r="A6" s="25"/>
      <c r="B6" s="25"/>
      <c r="C6" s="25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</v>
      </c>
      <c r="F8" s="2" t="s">
        <v>2</v>
      </c>
      <c r="G8" s="2"/>
    </row>
    <row r="9" spans="1:3" ht="12.75">
      <c r="A9" s="48" t="s">
        <v>70</v>
      </c>
      <c r="B9" s="48"/>
      <c r="C9" s="25"/>
    </row>
    <row r="10" spans="1:6" ht="12.75">
      <c r="A10" s="48" t="s">
        <v>71</v>
      </c>
      <c r="B10" s="25"/>
      <c r="C10" s="25"/>
      <c r="E10" s="1"/>
      <c r="F10" s="1"/>
    </row>
    <row r="11" spans="1:3" ht="12.75">
      <c r="A11" s="25"/>
      <c r="B11" s="50" t="s">
        <v>75</v>
      </c>
      <c r="C11" s="25"/>
    </row>
    <row r="12" spans="1:6" ht="12.75">
      <c r="A12" s="25"/>
      <c r="B12" s="25"/>
      <c r="C12" s="25" t="s">
        <v>3</v>
      </c>
      <c r="E12" s="5">
        <f>$F$14-E$13-E$14</f>
        <v>1228516.9666189493</v>
      </c>
      <c r="F12" s="1"/>
    </row>
    <row r="13" spans="1:6" ht="12.75">
      <c r="A13" s="25"/>
      <c r="B13" s="25"/>
      <c r="C13" s="25" t="s">
        <v>4</v>
      </c>
      <c r="E13" s="5">
        <v>270661.0084405128</v>
      </c>
      <c r="F13" s="1"/>
    </row>
    <row r="14" spans="1:6" ht="12.75">
      <c r="A14" s="25"/>
      <c r="B14" s="25"/>
      <c r="C14" s="25" t="s">
        <v>5</v>
      </c>
      <c r="E14" s="5">
        <v>86305.96440053795</v>
      </c>
      <c r="F14" s="3">
        <v>1585483.93946</v>
      </c>
    </row>
    <row r="15" spans="1:6" ht="12.75">
      <c r="A15" s="25"/>
      <c r="B15" s="50" t="s">
        <v>72</v>
      </c>
      <c r="C15" s="25"/>
      <c r="E15" s="1"/>
      <c r="F15" s="1"/>
    </row>
    <row r="16" spans="1:6" ht="12.75">
      <c r="A16" s="25"/>
      <c r="B16" s="25"/>
      <c r="C16" s="25" t="s">
        <v>72</v>
      </c>
      <c r="E16" s="5">
        <v>345953.8950399999</v>
      </c>
      <c r="F16" s="1"/>
    </row>
    <row r="17" spans="1:6" ht="12.75">
      <c r="A17" s="25"/>
      <c r="B17" s="25"/>
      <c r="C17" s="25" t="s">
        <v>73</v>
      </c>
      <c r="E17" s="5">
        <v>6711.999679999999</v>
      </c>
      <c r="F17" s="1"/>
    </row>
    <row r="18" spans="1:6" ht="12.75">
      <c r="A18" s="25"/>
      <c r="B18" s="25"/>
      <c r="C18" s="25" t="s">
        <v>74</v>
      </c>
      <c r="E18" s="5">
        <v>32267.184114</v>
      </c>
      <c r="F18" s="3">
        <f>$E$16-$E$17-$E$18</f>
        <v>306974.7112459999</v>
      </c>
    </row>
    <row r="19" spans="1:6" ht="12.75">
      <c r="A19" s="25"/>
      <c r="B19" s="25" t="s">
        <v>76</v>
      </c>
      <c r="C19" s="25"/>
      <c r="F19" s="3">
        <v>5190.53116</v>
      </c>
    </row>
    <row r="20" spans="1:6" ht="13.5" thickBot="1">
      <c r="A20" s="25"/>
      <c r="B20" s="25" t="s">
        <v>77</v>
      </c>
      <c r="C20" s="25"/>
      <c r="E20" s="6"/>
      <c r="F20" s="54">
        <v>-9172.580850000002</v>
      </c>
    </row>
    <row r="21" spans="1:6" ht="13.5" thickBot="1">
      <c r="A21" s="25"/>
      <c r="B21" s="47" t="s">
        <v>78</v>
      </c>
      <c r="C21" s="25"/>
      <c r="E21" s="6"/>
      <c r="F21" s="55">
        <f>$F$14+$F$18+$F$19+$F$20</f>
        <v>1888476.601016</v>
      </c>
    </row>
    <row r="22" spans="1:5" ht="12.75">
      <c r="A22" s="25"/>
      <c r="B22" s="25"/>
      <c r="C22" s="25"/>
      <c r="E22" s="6"/>
    </row>
    <row r="23" spans="1:6" ht="12.75">
      <c r="A23" s="48" t="s">
        <v>79</v>
      </c>
      <c r="B23" s="25"/>
      <c r="C23" s="25"/>
      <c r="E23" s="6"/>
      <c r="F23" s="1"/>
    </row>
    <row r="24" spans="1:6" ht="12.75">
      <c r="A24" s="25"/>
      <c r="B24" s="50" t="s">
        <v>6</v>
      </c>
      <c r="C24" s="25"/>
      <c r="E24" s="6"/>
      <c r="F24" s="1"/>
    </row>
    <row r="25" spans="1:6" ht="12.75">
      <c r="A25" s="25"/>
      <c r="B25" s="25"/>
      <c r="C25" s="25" t="s">
        <v>7</v>
      </c>
      <c r="E25" s="5">
        <v>415571.31843</v>
      </c>
      <c r="F25" s="1"/>
    </row>
    <row r="26" spans="1:6" ht="12.75">
      <c r="A26" s="25"/>
      <c r="B26" s="25"/>
      <c r="C26" s="25" t="s">
        <v>8</v>
      </c>
      <c r="E26" s="5">
        <v>625672.0341099999</v>
      </c>
      <c r="F26" s="1"/>
    </row>
    <row r="27" spans="1:6" ht="12.75">
      <c r="A27" s="25"/>
      <c r="B27" s="25"/>
      <c r="C27" s="25" t="s">
        <v>80</v>
      </c>
      <c r="E27" s="5">
        <v>181353.39869</v>
      </c>
      <c r="F27" s="3">
        <f>SUM($E$25:$E$27)</f>
        <v>1222596.7512299998</v>
      </c>
    </row>
    <row r="28" spans="1:5" ht="12.75">
      <c r="A28" s="25"/>
      <c r="B28" s="50" t="s">
        <v>81</v>
      </c>
      <c r="C28" s="25"/>
      <c r="E28" s="1"/>
    </row>
    <row r="29" spans="1:6" ht="12.75">
      <c r="A29" s="25"/>
      <c r="B29" s="25"/>
      <c r="C29" s="25" t="s">
        <v>82</v>
      </c>
      <c r="E29" s="5">
        <v>186236.60155499913</v>
      </c>
      <c r="F29" s="1"/>
    </row>
    <row r="30" spans="1:6" ht="12.75">
      <c r="A30" s="25"/>
      <c r="B30" s="25"/>
      <c r="C30" s="25" t="s">
        <v>83</v>
      </c>
      <c r="E30" s="5">
        <v>159642.67180537665</v>
      </c>
      <c r="F30" s="1"/>
    </row>
    <row r="31" spans="1:6" ht="12.75">
      <c r="A31" s="25"/>
      <c r="B31" s="25"/>
      <c r="C31" s="25" t="s">
        <v>84</v>
      </c>
      <c r="D31" s="1"/>
      <c r="E31" s="5">
        <v>-11168.89</v>
      </c>
      <c r="F31" s="1"/>
    </row>
    <row r="32" spans="1:6" ht="12.75">
      <c r="A32" s="25"/>
      <c r="B32" s="25"/>
      <c r="C32" s="25" t="s">
        <v>85</v>
      </c>
      <c r="D32" s="1"/>
      <c r="E32" s="5">
        <f>$F$32-SUM($E$29:$E$31)</f>
        <v>67789.26363962423</v>
      </c>
      <c r="F32" s="3">
        <v>402499.647</v>
      </c>
    </row>
    <row r="33" spans="1:6" ht="12.75">
      <c r="A33" s="25"/>
      <c r="B33" s="50" t="s">
        <v>9</v>
      </c>
      <c r="C33" s="25"/>
      <c r="D33" s="1"/>
      <c r="E33" s="1"/>
      <c r="F33" s="3">
        <v>92940.18331599995</v>
      </c>
    </row>
    <row r="34" spans="1:6" ht="12.75">
      <c r="A34" s="25"/>
      <c r="B34" s="25" t="s">
        <v>86</v>
      </c>
      <c r="C34" s="25"/>
      <c r="E34" s="1"/>
      <c r="F34" s="3">
        <v>1960.86485</v>
      </c>
    </row>
    <row r="35" spans="1:6" ht="12.75">
      <c r="A35" s="25"/>
      <c r="B35" s="25" t="s">
        <v>10</v>
      </c>
      <c r="C35" s="25"/>
      <c r="E35" s="1"/>
      <c r="F35" s="3">
        <v>0</v>
      </c>
    </row>
    <row r="36" spans="1:6" ht="12.75">
      <c r="A36" s="25"/>
      <c r="B36" s="25" t="s">
        <v>11</v>
      </c>
      <c r="C36" s="25"/>
      <c r="F36" s="3">
        <v>110716.8588</v>
      </c>
    </row>
    <row r="37" spans="1:6" ht="13.5" thickBot="1">
      <c r="A37" s="25"/>
      <c r="B37" s="25" t="s">
        <v>87</v>
      </c>
      <c r="C37" s="25"/>
      <c r="F37" s="54">
        <f>$F$38-($F$27+SUM($F$32:$F$36))</f>
        <v>57762.295820000116</v>
      </c>
    </row>
    <row r="38" spans="1:6" ht="13.5" thickBot="1">
      <c r="A38" s="25"/>
      <c r="B38" s="25" t="s">
        <v>88</v>
      </c>
      <c r="C38" s="25"/>
      <c r="F38" s="55">
        <f>$F$14+$F$18+$F$19+$F$20</f>
        <v>1888476.601016</v>
      </c>
    </row>
    <row r="39" spans="1:3" ht="12.75">
      <c r="A39" s="25"/>
      <c r="B39" s="25"/>
      <c r="C39" s="25"/>
    </row>
    <row r="40" spans="1:6" ht="12.75">
      <c r="A40" s="48" t="s">
        <v>89</v>
      </c>
      <c r="B40" s="25"/>
      <c r="C40" s="25"/>
      <c r="E40" s="1"/>
      <c r="F40" s="1"/>
    </row>
    <row r="41" spans="1:6" ht="12.75">
      <c r="A41" s="48" t="s">
        <v>90</v>
      </c>
      <c r="B41" s="25"/>
      <c r="C41" s="25"/>
      <c r="E41" s="1"/>
      <c r="F41" s="1"/>
    </row>
    <row r="42" spans="1:6" ht="12.75">
      <c r="A42" s="25"/>
      <c r="B42" s="50" t="s">
        <v>91</v>
      </c>
      <c r="C42" s="25"/>
      <c r="F42" s="1"/>
    </row>
    <row r="43" spans="1:7" ht="12.75">
      <c r="A43" s="25"/>
      <c r="B43" s="25"/>
      <c r="C43" s="25" t="s">
        <v>27</v>
      </c>
      <c r="E43" s="5">
        <v>295628.87915</v>
      </c>
      <c r="F43" s="56" t="s">
        <v>138</v>
      </c>
      <c r="G43" s="57">
        <f>IF(E43&gt;0,E43/$F$50,0)</f>
        <v>0.02952341550325926</v>
      </c>
    </row>
    <row r="44" spans="1:7" ht="12.75">
      <c r="A44" s="25"/>
      <c r="B44" s="25"/>
      <c r="C44" s="25" t="s">
        <v>28</v>
      </c>
      <c r="E44" s="5">
        <v>5456699.028259999</v>
      </c>
      <c r="F44" s="56" t="s">
        <v>138</v>
      </c>
      <c r="G44" s="57">
        <f aca="true" t="shared" si="0" ref="G44:G50">IF(E44&gt;0,E44/$F$50,0)</f>
        <v>0.5449413235633512</v>
      </c>
    </row>
    <row r="45" spans="1:7" ht="12.75">
      <c r="A45" s="25"/>
      <c r="B45" s="25"/>
      <c r="C45" s="25" t="s">
        <v>29</v>
      </c>
      <c r="E45" s="5">
        <v>1860756.1142</v>
      </c>
      <c r="F45" s="56" t="s">
        <v>138</v>
      </c>
      <c r="G45" s="57">
        <f t="shared" si="0"/>
        <v>0.18582716298796598</v>
      </c>
    </row>
    <row r="46" spans="1:7" ht="12.75">
      <c r="A46" s="25"/>
      <c r="B46" s="25"/>
      <c r="C46" s="25" t="s">
        <v>30</v>
      </c>
      <c r="E46" s="5">
        <v>787874.25003</v>
      </c>
      <c r="F46" s="56" t="s">
        <v>138</v>
      </c>
      <c r="G46" s="57">
        <f t="shared" si="0"/>
        <v>0.07868222791641453</v>
      </c>
    </row>
    <row r="47" spans="1:7" ht="12.75">
      <c r="A47" s="25"/>
      <c r="B47" s="25"/>
      <c r="C47" s="25" t="s">
        <v>31</v>
      </c>
      <c r="E47" s="5">
        <v>171796.43385</v>
      </c>
      <c r="F47" s="56" t="s">
        <v>138</v>
      </c>
      <c r="G47" s="57">
        <f t="shared" si="0"/>
        <v>0.017156705099701165</v>
      </c>
    </row>
    <row r="48" spans="1:7" ht="12.75">
      <c r="A48" s="25"/>
      <c r="B48" s="25"/>
      <c r="C48" s="25" t="s">
        <v>32</v>
      </c>
      <c r="E48" s="5">
        <v>51274.25683</v>
      </c>
      <c r="F48" s="56" t="s">
        <v>138</v>
      </c>
      <c r="G48" s="57">
        <f t="shared" si="0"/>
        <v>0.005120579536631914</v>
      </c>
    </row>
    <row r="49" spans="1:7" ht="12.75">
      <c r="A49" s="25"/>
      <c r="B49" s="25"/>
      <c r="C49" s="25" t="s">
        <v>33</v>
      </c>
      <c r="E49" s="5">
        <v>1384296.4309599998</v>
      </c>
      <c r="F49" s="56" t="s">
        <v>138</v>
      </c>
      <c r="G49" s="57">
        <f t="shared" si="0"/>
        <v>0.13824481163145838</v>
      </c>
    </row>
    <row r="50" spans="1:7" ht="13.5" thickBot="1">
      <c r="A50" s="25"/>
      <c r="B50" s="25"/>
      <c r="C50" s="25" t="s">
        <v>34</v>
      </c>
      <c r="E50" s="5">
        <v>5044.473</v>
      </c>
      <c r="F50" s="55">
        <f>SUM($E$43:$E$50)</f>
        <v>10013369.866279997</v>
      </c>
      <c r="G50" s="57">
        <f t="shared" si="0"/>
        <v>0.0005037737612177148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92</v>
      </c>
      <c r="B52" s="25"/>
      <c r="C52" s="25"/>
      <c r="E52" s="6"/>
      <c r="F52" s="6"/>
    </row>
    <row r="53" spans="1:3" ht="12.75">
      <c r="A53" s="25"/>
      <c r="B53" s="50" t="s">
        <v>93</v>
      </c>
      <c r="C53" s="25"/>
    </row>
    <row r="54" spans="1:5" ht="12.75">
      <c r="A54" s="25"/>
      <c r="B54" s="25"/>
      <c r="C54" s="25" t="s">
        <v>82</v>
      </c>
      <c r="E54" s="5">
        <v>6110975.699554999</v>
      </c>
    </row>
    <row r="55" spans="1:5" ht="12.75">
      <c r="A55" s="25"/>
      <c r="B55" s="25"/>
      <c r="C55" s="25" t="s">
        <v>83</v>
      </c>
      <c r="E55" s="5">
        <v>2583131.8508053767</v>
      </c>
    </row>
    <row r="56" spans="1:5" ht="12.75">
      <c r="A56" s="25"/>
      <c r="B56" s="25"/>
      <c r="C56" s="25" t="s">
        <v>84</v>
      </c>
      <c r="E56" s="5">
        <v>261113.782</v>
      </c>
    </row>
    <row r="57" spans="1:6" ht="12.75">
      <c r="A57" s="25"/>
      <c r="B57" s="25"/>
      <c r="C57" s="25" t="s">
        <v>94</v>
      </c>
      <c r="E57" s="5">
        <v>568248.839165</v>
      </c>
      <c r="F57" s="3">
        <f>SUM($E$54:$E$57)</f>
        <v>9523470.171525376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95</v>
      </c>
      <c r="B59" s="25"/>
      <c r="C59" s="25"/>
      <c r="E59" s="1"/>
      <c r="F59" s="1"/>
    </row>
    <row r="60" spans="1:6" ht="12.75">
      <c r="A60" s="25"/>
      <c r="B60" s="25"/>
      <c r="C60" s="25" t="s">
        <v>13</v>
      </c>
      <c r="F60" s="3">
        <v>170095.793</v>
      </c>
    </row>
    <row r="61" spans="1:6" ht="12.75">
      <c r="A61" s="25"/>
      <c r="B61" s="25"/>
      <c r="C61" s="25" t="s">
        <v>14</v>
      </c>
      <c r="F61" s="3">
        <f>$F$36</f>
        <v>110716.8588</v>
      </c>
    </row>
    <row r="62" spans="1:6" ht="12.75">
      <c r="A62" s="25"/>
      <c r="B62" s="25"/>
      <c r="C62" s="25" t="s">
        <v>139</v>
      </c>
      <c r="F62" s="3">
        <v>0</v>
      </c>
    </row>
    <row r="63" spans="1:6" ht="12.75">
      <c r="A63" s="25"/>
      <c r="B63" s="25"/>
      <c r="C63" s="25" t="s">
        <v>15</v>
      </c>
      <c r="E63" s="5">
        <v>0</v>
      </c>
      <c r="F63" s="1"/>
    </row>
    <row r="64" spans="1:6" ht="13.5" thickBot="1">
      <c r="A64" s="25"/>
      <c r="B64" s="25"/>
      <c r="C64" s="25" t="s">
        <v>96</v>
      </c>
      <c r="E64" s="5">
        <v>54460.435639999996</v>
      </c>
      <c r="F64" s="55">
        <f>$E$64+$E$63</f>
        <v>54460.435639999996</v>
      </c>
    </row>
    <row r="65" spans="1:6" ht="13.5" thickBot="1">
      <c r="A65" s="25"/>
      <c r="B65" s="25"/>
      <c r="C65" s="25" t="s">
        <v>16</v>
      </c>
      <c r="F65" s="55">
        <f>$F$60+$F$61+$F$62-$F$64</f>
        <v>226352.21616</v>
      </c>
    </row>
    <row r="66" spans="1:6" ht="12.75">
      <c r="A66" s="25"/>
      <c r="B66" s="25"/>
      <c r="C66" s="25"/>
      <c r="F66" s="1"/>
    </row>
    <row r="67" spans="1:6" ht="12.75">
      <c r="A67" s="48" t="s">
        <v>97</v>
      </c>
      <c r="B67" s="25"/>
      <c r="C67" s="25"/>
      <c r="F67" s="1"/>
    </row>
    <row r="68" spans="1:6" ht="12.75">
      <c r="A68" s="25"/>
      <c r="B68" s="25"/>
      <c r="C68" s="25" t="s">
        <v>13</v>
      </c>
      <c r="E68" s="26"/>
      <c r="F68" s="3">
        <v>245256.11</v>
      </c>
    </row>
    <row r="69" spans="1:6" ht="12.75">
      <c r="A69" s="25"/>
      <c r="B69" s="25"/>
      <c r="C69" s="25" t="s">
        <v>54</v>
      </c>
      <c r="E69" s="5">
        <v>7159.725612</v>
      </c>
      <c r="F69" s="58"/>
    </row>
    <row r="70" spans="1:6" ht="12.75">
      <c r="A70" s="25"/>
      <c r="B70" s="25"/>
      <c r="C70" s="25" t="s">
        <v>98</v>
      </c>
      <c r="E70" s="5">
        <v>3026.2552397400004</v>
      </c>
      <c r="F70" s="3">
        <f>$E$69+$E$70</f>
        <v>10185.980851740002</v>
      </c>
    </row>
    <row r="71" spans="1:6" ht="12.75">
      <c r="A71" s="25"/>
      <c r="B71" s="25"/>
      <c r="C71" s="25" t="s">
        <v>55</v>
      </c>
      <c r="E71" s="5">
        <v>6083.143599999994</v>
      </c>
      <c r="F71" s="60"/>
    </row>
    <row r="72" spans="1:6" ht="13.5" thickBot="1">
      <c r="A72" s="49"/>
      <c r="B72" s="49"/>
      <c r="C72" s="25" t="s">
        <v>99</v>
      </c>
      <c r="E72" s="5">
        <v>0</v>
      </c>
      <c r="F72" s="55">
        <f>$E$72+$E$71</f>
        <v>6083.143599999994</v>
      </c>
    </row>
    <row r="73" spans="1:6" ht="13.5" thickBot="1">
      <c r="A73" s="49"/>
      <c r="B73" s="49"/>
      <c r="C73" s="25" t="s">
        <v>16</v>
      </c>
      <c r="E73" s="26"/>
      <c r="F73" s="55">
        <f>$F$68+$F$70-$F$72</f>
        <v>249358.94725174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100</v>
      </c>
      <c r="B75" s="49"/>
      <c r="C75" s="25"/>
      <c r="E75" s="60"/>
      <c r="F75" s="61"/>
    </row>
    <row r="76" spans="1:7" ht="13.5" thickBot="1">
      <c r="A76" s="25"/>
      <c r="B76" s="25" t="s">
        <v>17</v>
      </c>
      <c r="C76" s="25" t="s">
        <v>101</v>
      </c>
      <c r="D76" s="26"/>
      <c r="E76" s="55">
        <f>$E$16-$E$17</f>
        <v>339241.8953599999</v>
      </c>
      <c r="F76" s="55">
        <f>$F$18</f>
        <v>306974.7112459999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12.75">
      <c r="A78" s="25"/>
      <c r="B78" s="25" t="s">
        <v>20</v>
      </c>
      <c r="C78" s="25" t="s">
        <v>102</v>
      </c>
      <c r="D78" s="26"/>
      <c r="E78" s="58" t="s">
        <v>18</v>
      </c>
      <c r="F78" s="58" t="s">
        <v>19</v>
      </c>
      <c r="G78" s="26"/>
    </row>
    <row r="79" spans="1:7" ht="12.75">
      <c r="A79" s="25"/>
      <c r="B79" s="25"/>
      <c r="C79" s="25" t="s">
        <v>21</v>
      </c>
      <c r="D79" s="26"/>
      <c r="E79" s="3">
        <v>9885563.616999999</v>
      </c>
      <c r="F79" s="3">
        <v>10165625.275</v>
      </c>
      <c r="G79" s="26"/>
    </row>
    <row r="80" spans="1:7" ht="12.75">
      <c r="A80" s="25"/>
      <c r="B80" s="25"/>
      <c r="C80" s="25" t="s">
        <v>23</v>
      </c>
      <c r="D80" s="26"/>
      <c r="E80" s="3">
        <v>10013369.866279999</v>
      </c>
      <c r="F80" s="3">
        <v>10105021.354389999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22</v>
      </c>
      <c r="C82" s="25" t="s">
        <v>103</v>
      </c>
      <c r="D82" s="59"/>
      <c r="E82" s="26"/>
      <c r="F82" s="59"/>
      <c r="G82" s="26"/>
    </row>
    <row r="83" spans="1:7" ht="13.5" thickBot="1">
      <c r="A83" s="25"/>
      <c r="B83" s="25"/>
      <c r="C83" s="25" t="s">
        <v>104</v>
      </c>
      <c r="D83" s="59"/>
      <c r="E83" s="61"/>
      <c r="F83" s="55">
        <f>$F$79-$E$79</f>
        <v>280061.6580000017</v>
      </c>
      <c r="G83" s="61"/>
    </row>
    <row r="84" spans="1:7" ht="13.5" thickBot="1">
      <c r="A84" s="25"/>
      <c r="B84" s="25"/>
      <c r="C84" s="25" t="s">
        <v>105</v>
      </c>
      <c r="D84" s="26"/>
      <c r="E84" s="26"/>
      <c r="F84" s="55">
        <f>$F$80-$E$80</f>
        <v>91651.48811000027</v>
      </c>
      <c r="G84" s="26"/>
    </row>
    <row r="85" spans="1:7" ht="13.5" thickBot="1">
      <c r="A85" s="25"/>
      <c r="B85" s="25"/>
      <c r="C85" s="25" t="s">
        <v>106</v>
      </c>
      <c r="D85" s="59"/>
      <c r="E85" s="26"/>
      <c r="F85" s="55">
        <f>$F$84-$F$83</f>
        <v>-188410.16989000142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24</v>
      </c>
      <c r="C87" s="25" t="s">
        <v>107</v>
      </c>
      <c r="D87" s="59"/>
      <c r="E87" s="57">
        <f>IF($E$79+$E$80&gt;0,E$76/(($E$79+$E$80)/2),0)</f>
        <v>0.03409649021089966</v>
      </c>
      <c r="F87" s="57">
        <f>IF($E$79+$E$80&gt;0,F$76/(($E$79+$E$80)/2),0)</f>
        <v>0.030853383323677548</v>
      </c>
      <c r="G87" s="61"/>
    </row>
    <row r="88" spans="1:7" ht="12.75">
      <c r="A88" s="25"/>
      <c r="B88" s="25" t="s">
        <v>25</v>
      </c>
      <c r="C88" s="25" t="s">
        <v>108</v>
      </c>
      <c r="D88" s="26"/>
      <c r="E88" s="57">
        <f>IF($F$79+$F$80&gt;0,(E$76+($F$80-$E$80)-($F$79-$E$79))/(($F$79+$F$80)/2),0)</f>
        <v>0.014881787268819596</v>
      </c>
      <c r="F88" s="57">
        <f>IF($F$79+$F$80&gt;0,(F$76+($F$80-$E$80)-($F$79-$E$79))/(($F$79+$F$80)/2),0)</f>
        <v>0.011698150880307307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26</v>
      </c>
      <c r="C90" s="25" t="s">
        <v>109</v>
      </c>
      <c r="D90" s="26"/>
      <c r="E90" s="59"/>
      <c r="F90" s="26"/>
      <c r="G90" s="62"/>
    </row>
    <row r="91" spans="1:7" ht="12.75">
      <c r="A91" s="25"/>
      <c r="B91" s="25"/>
      <c r="C91" s="25" t="s">
        <v>110</v>
      </c>
      <c r="D91" s="26"/>
      <c r="E91" s="68"/>
      <c r="F91" s="67">
        <v>0.05835</v>
      </c>
      <c r="G91" s="59"/>
    </row>
    <row r="92" spans="1:7" ht="12.75">
      <c r="A92" s="25"/>
      <c r="B92" s="25"/>
      <c r="C92" s="25" t="s">
        <v>111</v>
      </c>
      <c r="D92" s="26"/>
      <c r="E92" s="68"/>
      <c r="F92" s="67">
        <v>0.05574</v>
      </c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35</v>
      </c>
      <c r="C94" s="25" t="s">
        <v>37</v>
      </c>
      <c r="D94" s="26"/>
      <c r="E94" s="64"/>
      <c r="F94" s="26"/>
      <c r="G94" s="65"/>
    </row>
    <row r="95" spans="1:7" ht="12.75">
      <c r="A95" s="25"/>
      <c r="B95" s="25"/>
      <c r="C95" s="25" t="s">
        <v>112</v>
      </c>
      <c r="D95" s="26"/>
      <c r="E95" s="26"/>
      <c r="F95" s="8">
        <v>137760.21</v>
      </c>
      <c r="G95" s="26"/>
    </row>
    <row r="96" spans="1:7" ht="12.75">
      <c r="A96" s="25"/>
      <c r="B96" s="25"/>
      <c r="C96" s="25" t="s">
        <v>113</v>
      </c>
      <c r="D96" s="26"/>
      <c r="E96" s="26"/>
      <c r="F96" s="8">
        <v>17542.11</v>
      </c>
      <c r="G96" s="26"/>
    </row>
    <row r="97" spans="1:7" ht="13.5" thickBot="1">
      <c r="A97" s="25"/>
      <c r="B97" s="25"/>
      <c r="C97" s="25" t="s">
        <v>114</v>
      </c>
      <c r="D97" s="26"/>
      <c r="E97" s="61"/>
      <c r="F97" s="69">
        <v>12025</v>
      </c>
      <c r="G97" s="26"/>
    </row>
    <row r="98" spans="1:7" ht="13.5" thickBot="1">
      <c r="A98" s="25"/>
      <c r="B98" s="25"/>
      <c r="C98" s="25" t="s">
        <v>115</v>
      </c>
      <c r="D98" s="26"/>
      <c r="E98" s="61"/>
      <c r="F98" s="70">
        <f>SUM($F$95:$F$97)</f>
        <v>167327.32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36</v>
      </c>
      <c r="C100" s="25" t="s">
        <v>43</v>
      </c>
    </row>
    <row r="101" spans="1:6" ht="12.75">
      <c r="A101" s="25"/>
      <c r="B101" s="25"/>
      <c r="C101" s="25" t="s">
        <v>116</v>
      </c>
      <c r="F101" s="3">
        <f>$E$18</f>
        <v>32267.184114</v>
      </c>
    </row>
    <row r="102" spans="1:6" ht="12.75">
      <c r="A102" s="25"/>
      <c r="B102" s="25"/>
      <c r="C102" s="25" t="s">
        <v>117</v>
      </c>
      <c r="F102" s="57">
        <f>IF($F$101&gt;0,$F$101/(($F$79+$F$80)/2),0)</f>
        <v>0.0031836363885122897</v>
      </c>
    </row>
    <row r="103" spans="1:5" ht="12.75">
      <c r="A103" s="25"/>
      <c r="B103" s="25"/>
      <c r="C103" s="25" t="s">
        <v>9</v>
      </c>
      <c r="E103" s="5">
        <v>92940.18331599995</v>
      </c>
    </row>
    <row r="104" spans="1:6" ht="13.5" thickBot="1">
      <c r="A104" s="25"/>
      <c r="B104" s="25"/>
      <c r="C104" s="25" t="s">
        <v>118</v>
      </c>
      <c r="E104" s="5">
        <v>6123.55792</v>
      </c>
      <c r="F104" s="55">
        <f>$E$103-$E$104</f>
        <v>86816.62539599994</v>
      </c>
    </row>
    <row r="105" spans="1:6" ht="12.75">
      <c r="A105" s="25"/>
      <c r="B105" s="25"/>
      <c r="C105" s="25" t="s">
        <v>119</v>
      </c>
      <c r="F105" s="3">
        <f>IF(F$98&gt;0,(1000*F$104)/F$98,0)</f>
        <v>518.8430998356989</v>
      </c>
    </row>
    <row r="106" spans="1:6" ht="12.75">
      <c r="A106" s="25"/>
      <c r="B106" s="25"/>
      <c r="C106" s="25" t="s">
        <v>120</v>
      </c>
      <c r="F106" s="3">
        <f>IF($F$98&gt;0,$E$14*1000/$F$98,0)</f>
        <v>515.7912312259465</v>
      </c>
    </row>
    <row r="107" spans="1:3" ht="12.75">
      <c r="A107" s="25"/>
      <c r="B107" s="25"/>
      <c r="C107" s="25"/>
    </row>
    <row r="108" spans="1:3" ht="12.75">
      <c r="A108" s="48" t="s">
        <v>144</v>
      </c>
      <c r="B108" s="25"/>
      <c r="C108" s="25"/>
    </row>
    <row r="109" spans="1:7" ht="12.75">
      <c r="A109" s="25"/>
      <c r="B109" s="50" t="s">
        <v>56</v>
      </c>
      <c r="C109" s="25"/>
      <c r="D109" s="108" t="s">
        <v>142</v>
      </c>
      <c r="E109" s="108"/>
      <c r="F109" s="108" t="s">
        <v>143</v>
      </c>
      <c r="G109" s="108"/>
    </row>
    <row r="110" spans="1:6" ht="12.75">
      <c r="A110" s="25"/>
      <c r="B110" s="25"/>
      <c r="C110" s="25" t="s">
        <v>121</v>
      </c>
      <c r="D110" s="89">
        <v>267887.80911609164</v>
      </c>
      <c r="F110" s="89">
        <v>39086.902700213046</v>
      </c>
    </row>
    <row r="111" spans="1:6" ht="12.75">
      <c r="A111" s="25"/>
      <c r="B111" s="25"/>
      <c r="C111" s="25" t="s">
        <v>122</v>
      </c>
      <c r="D111" s="5">
        <v>174147.2516604813</v>
      </c>
      <c r="F111" s="5">
        <v>96513.7567800315</v>
      </c>
    </row>
    <row r="112" spans="1:7" ht="12.75">
      <c r="A112" s="25"/>
      <c r="B112" s="25"/>
      <c r="C112" s="25" t="s">
        <v>123</v>
      </c>
      <c r="D112" s="5">
        <v>55137.81995843325</v>
      </c>
      <c r="E112" s="3">
        <f>SUM($D$110:$D$112)</f>
        <v>497172.8807350062</v>
      </c>
      <c r="F112" s="5">
        <v>31168.14444210471</v>
      </c>
      <c r="G112" s="3">
        <f>SUM($F$110:$F$112)</f>
        <v>166768.80392234927</v>
      </c>
    </row>
    <row r="113" spans="1:3" ht="12.75">
      <c r="A113" s="25"/>
      <c r="B113" s="50" t="s">
        <v>57</v>
      </c>
      <c r="C113" s="25"/>
    </row>
    <row r="114" spans="1:6" ht="12.75">
      <c r="A114" s="25"/>
      <c r="B114" s="25"/>
      <c r="C114" s="25" t="s">
        <v>124</v>
      </c>
      <c r="D114" s="5">
        <v>214125.42332984967</v>
      </c>
      <c r="F114" s="5">
        <v>29035.069894562585</v>
      </c>
    </row>
    <row r="115" spans="1:6" ht="12.75">
      <c r="A115" s="25"/>
      <c r="B115" s="25"/>
      <c r="C115" s="25" t="s">
        <v>125</v>
      </c>
      <c r="D115" s="5">
        <v>130469.70108777506</v>
      </c>
      <c r="F115" s="5">
        <v>38026.79747760312</v>
      </c>
    </row>
    <row r="116" spans="1:7" ht="12.75">
      <c r="A116" s="25"/>
      <c r="B116" s="25"/>
      <c r="C116" s="25" t="s">
        <v>126</v>
      </c>
      <c r="D116" s="5">
        <v>54506.8309454385</v>
      </c>
      <c r="E116" s="3">
        <f>SUM($D$114:$D$116)</f>
        <v>399101.95536306326</v>
      </c>
      <c r="F116" s="5">
        <v>22998.706104561505</v>
      </c>
      <c r="G116" s="3">
        <f>SUM($F$114:$F$116)</f>
        <v>90060.57347672721</v>
      </c>
    </row>
    <row r="117" spans="1:7" ht="14.25">
      <c r="A117" s="25"/>
      <c r="B117" s="51" t="s">
        <v>136</v>
      </c>
      <c r="C117" s="25"/>
      <c r="E117" s="3">
        <f>$E$112-$E$116</f>
        <v>98070.92537194293</v>
      </c>
      <c r="G117" s="3">
        <f>$G$112-$G$116</f>
        <v>76708.23044562206</v>
      </c>
    </row>
    <row r="118" spans="1:3" ht="12.75">
      <c r="A118" s="25"/>
      <c r="B118" s="50" t="s">
        <v>127</v>
      </c>
      <c r="C118" s="25"/>
    </row>
    <row r="119" spans="1:6" ht="12.75">
      <c r="A119" s="25"/>
      <c r="B119" s="25"/>
      <c r="C119" s="25" t="s">
        <v>128</v>
      </c>
      <c r="D119" s="5">
        <v>6000</v>
      </c>
      <c r="F119" s="5">
        <v>-1400</v>
      </c>
    </row>
    <row r="120" spans="1:6" ht="12.75">
      <c r="A120" s="25"/>
      <c r="B120" s="25"/>
      <c r="C120" s="25" t="s">
        <v>129</v>
      </c>
      <c r="D120" s="5">
        <v>2900</v>
      </c>
      <c r="F120" s="5">
        <v>0</v>
      </c>
    </row>
    <row r="121" spans="1:6" ht="12.75">
      <c r="A121" s="25"/>
      <c r="B121" s="25"/>
      <c r="C121" s="25" t="s">
        <v>130</v>
      </c>
      <c r="D121" s="5">
        <v>-500</v>
      </c>
      <c r="F121" s="5">
        <v>-700</v>
      </c>
    </row>
    <row r="122" spans="1:6" ht="12.75">
      <c r="A122" s="25"/>
      <c r="B122" s="25"/>
      <c r="C122" s="25" t="s">
        <v>131</v>
      </c>
      <c r="D122" s="5">
        <v>0</v>
      </c>
      <c r="F122" s="5">
        <v>0</v>
      </c>
    </row>
    <row r="123" spans="1:6" ht="12.75">
      <c r="A123" s="25"/>
      <c r="B123" s="25"/>
      <c r="C123" s="25" t="s">
        <v>132</v>
      </c>
      <c r="D123" s="5">
        <v>0</v>
      </c>
      <c r="F123" s="5">
        <v>0</v>
      </c>
    </row>
    <row r="124" spans="1:6" ht="12.75">
      <c r="A124" s="25"/>
      <c r="B124" s="25"/>
      <c r="C124" s="25" t="s">
        <v>133</v>
      </c>
      <c r="D124" s="5">
        <v>0</v>
      </c>
      <c r="F124" s="5">
        <v>0</v>
      </c>
    </row>
    <row r="125" spans="1:6" ht="12.75">
      <c r="A125" s="25"/>
      <c r="B125" s="25"/>
      <c r="C125" s="25" t="s">
        <v>134</v>
      </c>
      <c r="D125" s="5">
        <v>0</v>
      </c>
      <c r="F125" s="5">
        <v>0</v>
      </c>
    </row>
    <row r="126" spans="1:7" ht="12.75">
      <c r="A126" s="25"/>
      <c r="B126" s="25"/>
      <c r="C126" s="25" t="s">
        <v>135</v>
      </c>
      <c r="D126" s="5">
        <v>0</v>
      </c>
      <c r="E126" s="3">
        <f>SUM($D$119:$D$126)</f>
        <v>8400</v>
      </c>
      <c r="F126" s="5">
        <v>0</v>
      </c>
      <c r="G126" s="3">
        <f>SUM($F$119:$F$126)</f>
        <v>-2100</v>
      </c>
    </row>
    <row r="127" spans="1:5" ht="12.75">
      <c r="A127" s="25"/>
      <c r="B127" s="25" t="s">
        <v>58</v>
      </c>
      <c r="C127" s="25"/>
      <c r="E127" s="3">
        <v>0</v>
      </c>
    </row>
    <row r="128" spans="1:7" ht="13.5" thickBot="1">
      <c r="A128" s="25"/>
      <c r="B128" s="25" t="s">
        <v>59</v>
      </c>
      <c r="C128" s="25"/>
      <c r="E128" s="54">
        <v>49247</v>
      </c>
      <c r="G128" s="55">
        <v>61469.740110423074</v>
      </c>
    </row>
    <row r="129" spans="1:7" ht="13.5" thickBot="1">
      <c r="A129" s="25"/>
      <c r="B129" s="25" t="s">
        <v>12</v>
      </c>
      <c r="C129" s="25"/>
      <c r="E129" s="55">
        <f>$E$117-SUM($E$126:$E$128)</f>
        <v>40423.925371942925</v>
      </c>
      <c r="G129" s="55">
        <f>$G$117-$G$126-$G$128</f>
        <v>17338.490335198985</v>
      </c>
    </row>
    <row r="130" spans="1:7" ht="12.75">
      <c r="A130" s="25"/>
      <c r="B130" s="25" t="s">
        <v>64</v>
      </c>
      <c r="C130" s="25"/>
      <c r="E130" s="57">
        <f>IF(E$112&gt;0,MIN(MAX((E$116+E$126+E$127+E$128)/E$112,0.9),1),0)</f>
        <v>0.9186924167863272</v>
      </c>
      <c r="G130" s="57">
        <f>IF(G$112&gt;0,MIN((G$116+G$126+G$127+G$128)/G$112,1),0)</f>
        <v>0.896032771553173</v>
      </c>
    </row>
    <row r="131" spans="1:3" ht="12.75">
      <c r="A131" s="25"/>
      <c r="C131" s="25"/>
    </row>
    <row r="132" spans="1:6" ht="12.75">
      <c r="A132" s="25"/>
      <c r="B132" s="50" t="s">
        <v>60</v>
      </c>
      <c r="C132" s="25"/>
      <c r="F132" t="s">
        <v>141</v>
      </c>
    </row>
    <row r="133" spans="1:6" ht="12.75">
      <c r="A133" s="25"/>
      <c r="B133" s="25"/>
      <c r="C133" s="25" t="s">
        <v>61</v>
      </c>
      <c r="E133" s="3">
        <f>$E$129</f>
        <v>40423.925371942925</v>
      </c>
      <c r="F133" s="57">
        <f>IF($E$112&gt;0,$E$133/$E$112,0)</f>
        <v>0.08130758321367278</v>
      </c>
    </row>
    <row r="134" spans="1:6" ht="12.75">
      <c r="A134" s="25"/>
      <c r="B134" s="25"/>
      <c r="C134" s="25" t="s">
        <v>62</v>
      </c>
      <c r="E134" s="3">
        <f>$G$129</f>
        <v>17338.490335198985</v>
      </c>
      <c r="F134" s="57">
        <f>IF($G$112&gt;0,$E$134/$G$112,0)</f>
        <v>0.103967228446827</v>
      </c>
    </row>
    <row r="135" spans="2:5" ht="12.75">
      <c r="B135" s="25"/>
      <c r="C135" s="25" t="s">
        <v>87</v>
      </c>
      <c r="E135" s="3">
        <f>SUM(E133:$E$134)</f>
        <v>57762.41570714191</v>
      </c>
    </row>
    <row r="137" spans="2:3" ht="12.75">
      <c r="B137" s="53" t="s">
        <v>137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43" right="0.16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>
    <tabColor indexed="1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47" t="s">
        <v>69</v>
      </c>
      <c r="B1" s="47"/>
      <c r="C1" s="25"/>
    </row>
    <row r="2" spans="1:3" ht="12.75">
      <c r="A2" s="25" t="s">
        <v>0</v>
      </c>
      <c r="B2" s="25"/>
      <c r="C2" s="25"/>
    </row>
    <row r="3" spans="1:3" ht="12.75">
      <c r="A3" s="48" t="s">
        <v>44</v>
      </c>
      <c r="B3" s="48"/>
      <c r="C3" s="25"/>
    </row>
    <row r="4" spans="1:3" ht="12.75">
      <c r="A4" s="25"/>
      <c r="B4" s="25"/>
      <c r="C4" s="25"/>
    </row>
    <row r="5" spans="1:3" ht="12.75">
      <c r="A5" s="25" t="s">
        <v>38</v>
      </c>
      <c r="B5" s="25"/>
      <c r="C5" s="25"/>
    </row>
    <row r="6" spans="1:3" ht="12.75">
      <c r="A6" s="25"/>
      <c r="B6" s="25"/>
      <c r="C6" s="25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</v>
      </c>
      <c r="F8" s="2" t="s">
        <v>2</v>
      </c>
      <c r="G8" s="2"/>
    </row>
    <row r="9" spans="1:3" ht="12.75">
      <c r="A9" s="48" t="s">
        <v>70</v>
      </c>
      <c r="B9" s="48"/>
      <c r="C9" s="25"/>
    </row>
    <row r="10" spans="1:6" ht="12.75">
      <c r="A10" s="48" t="s">
        <v>71</v>
      </c>
      <c r="B10" s="25"/>
      <c r="C10" s="25"/>
      <c r="E10" s="1"/>
      <c r="F10" s="1"/>
    </row>
    <row r="11" spans="1:3" ht="12.75">
      <c r="A11" s="25"/>
      <c r="B11" s="50" t="s">
        <v>75</v>
      </c>
      <c r="C11" s="25"/>
    </row>
    <row r="12" spans="1:6" ht="12.75">
      <c r="A12" s="25"/>
      <c r="B12" s="25"/>
      <c r="C12" s="25" t="s">
        <v>3</v>
      </c>
      <c r="E12" s="5">
        <f>$F$14-E$13-E$14</f>
        <v>71527.42099999997</v>
      </c>
      <c r="F12" s="1"/>
    </row>
    <row r="13" spans="1:6" ht="12.75">
      <c r="A13" s="25"/>
      <c r="B13" s="25"/>
      <c r="C13" s="25" t="s">
        <v>4</v>
      </c>
      <c r="E13" s="5">
        <v>306247.1228</v>
      </c>
      <c r="F13" s="1"/>
    </row>
    <row r="14" spans="1:6" ht="12.75">
      <c r="A14" s="25"/>
      <c r="B14" s="25"/>
      <c r="C14" s="25" t="s">
        <v>5</v>
      </c>
      <c r="E14" s="5">
        <v>18355.5562</v>
      </c>
      <c r="F14" s="3">
        <v>396130.1</v>
      </c>
    </row>
    <row r="15" spans="1:6" ht="12.75">
      <c r="A15" s="25"/>
      <c r="B15" s="50" t="s">
        <v>72</v>
      </c>
      <c r="C15" s="25"/>
      <c r="E15" s="1"/>
      <c r="F15" s="1"/>
    </row>
    <row r="16" spans="1:6" ht="12.75">
      <c r="A16" s="25"/>
      <c r="B16" s="25"/>
      <c r="C16" s="25" t="s">
        <v>72</v>
      </c>
      <c r="E16" s="5">
        <v>44860.3</v>
      </c>
      <c r="F16" s="1"/>
    </row>
    <row r="17" spans="1:6" ht="12.75">
      <c r="A17" s="25"/>
      <c r="B17" s="25"/>
      <c r="C17" s="25" t="s">
        <v>73</v>
      </c>
      <c r="E17" s="5">
        <v>6.6</v>
      </c>
      <c r="F17" s="1"/>
    </row>
    <row r="18" spans="1:6" ht="12.75">
      <c r="A18" s="25"/>
      <c r="B18" s="25"/>
      <c r="C18" s="25" t="s">
        <v>74</v>
      </c>
      <c r="E18" s="5">
        <v>3042.8</v>
      </c>
      <c r="F18" s="3">
        <f>$E$16-$E$17-$E$18</f>
        <v>41810.9</v>
      </c>
    </row>
    <row r="19" spans="1:6" ht="12.75">
      <c r="A19" s="25"/>
      <c r="B19" s="25" t="s">
        <v>76</v>
      </c>
      <c r="C19" s="25"/>
      <c r="F19" s="3">
        <v>892.1</v>
      </c>
    </row>
    <row r="20" spans="1:6" ht="13.5" thickBot="1">
      <c r="A20" s="25"/>
      <c r="B20" s="25" t="s">
        <v>77</v>
      </c>
      <c r="C20" s="25"/>
      <c r="E20" s="6"/>
      <c r="F20" s="54">
        <v>-2383.2</v>
      </c>
    </row>
    <row r="21" spans="1:6" ht="13.5" thickBot="1">
      <c r="A21" s="25"/>
      <c r="B21" s="47" t="s">
        <v>78</v>
      </c>
      <c r="C21" s="25"/>
      <c r="E21" s="6"/>
      <c r="F21" s="55">
        <f>$F$14+$F$18+$F$19+$F$20</f>
        <v>436449.89999999997</v>
      </c>
    </row>
    <row r="22" spans="1:5" ht="12.75">
      <c r="A22" s="25"/>
      <c r="B22" s="25"/>
      <c r="C22" s="25"/>
      <c r="E22" s="6"/>
    </row>
    <row r="23" spans="1:6" ht="12.75">
      <c r="A23" s="48" t="s">
        <v>79</v>
      </c>
      <c r="B23" s="25"/>
      <c r="C23" s="25"/>
      <c r="E23" s="6"/>
      <c r="F23" s="1"/>
    </row>
    <row r="24" spans="1:6" ht="12.75">
      <c r="A24" s="25"/>
      <c r="B24" s="50" t="s">
        <v>6</v>
      </c>
      <c r="C24" s="25"/>
      <c r="E24" s="6"/>
      <c r="F24" s="1"/>
    </row>
    <row r="25" spans="1:6" ht="12.75">
      <c r="A25" s="25"/>
      <c r="B25" s="25"/>
      <c r="C25" s="25" t="s">
        <v>7</v>
      </c>
      <c r="E25" s="5">
        <v>113076.2</v>
      </c>
      <c r="F25" s="1"/>
    </row>
    <row r="26" spans="1:6" ht="12.75">
      <c r="A26" s="25"/>
      <c r="B26" s="25"/>
      <c r="C26" s="25" t="s">
        <v>8</v>
      </c>
      <c r="E26" s="5">
        <v>0</v>
      </c>
      <c r="F26" s="1"/>
    </row>
    <row r="27" spans="1:6" ht="12.75">
      <c r="A27" s="25"/>
      <c r="B27" s="25"/>
      <c r="C27" s="25" t="s">
        <v>80</v>
      </c>
      <c r="E27" s="5">
        <v>45700.1</v>
      </c>
      <c r="F27" s="3">
        <f>SUM($E$25:$E$27)</f>
        <v>158776.3</v>
      </c>
    </row>
    <row r="28" spans="1:5" ht="12.75">
      <c r="A28" s="25"/>
      <c r="B28" s="50" t="s">
        <v>81</v>
      </c>
      <c r="C28" s="25"/>
      <c r="E28" s="1"/>
    </row>
    <row r="29" spans="1:6" ht="12.75">
      <c r="A29" s="25"/>
      <c r="B29" s="25"/>
      <c r="C29" s="25" t="s">
        <v>82</v>
      </c>
      <c r="E29" s="5">
        <v>0</v>
      </c>
      <c r="F29" s="1"/>
    </row>
    <row r="30" spans="1:6" ht="12.75">
      <c r="A30" s="25"/>
      <c r="B30" s="25"/>
      <c r="C30" s="25" t="s">
        <v>83</v>
      </c>
      <c r="E30" s="5">
        <v>63533.158000000054</v>
      </c>
      <c r="F30" s="1"/>
    </row>
    <row r="31" spans="1:6" ht="12.75">
      <c r="A31" s="25"/>
      <c r="B31" s="25"/>
      <c r="C31" s="25" t="s">
        <v>84</v>
      </c>
      <c r="D31" s="1"/>
      <c r="E31" s="5">
        <v>-655.8439999999991</v>
      </c>
      <c r="F31" s="1"/>
    </row>
    <row r="32" spans="1:6" ht="12.75">
      <c r="A32" s="25"/>
      <c r="B32" s="25"/>
      <c r="C32" s="25" t="s">
        <v>85</v>
      </c>
      <c r="D32" s="1"/>
      <c r="E32" s="5">
        <f>$F$32-SUM($E$29:$E$31)</f>
        <v>38064.08599999994</v>
      </c>
      <c r="F32" s="3">
        <v>100941.4</v>
      </c>
    </row>
    <row r="33" spans="1:6" ht="12.75">
      <c r="A33" s="25"/>
      <c r="B33" s="50" t="s">
        <v>9</v>
      </c>
      <c r="C33" s="25"/>
      <c r="D33" s="1"/>
      <c r="E33" s="1"/>
      <c r="F33" s="3">
        <v>30660.4</v>
      </c>
    </row>
    <row r="34" spans="1:6" ht="12.75">
      <c r="A34" s="25"/>
      <c r="B34" s="25" t="s">
        <v>86</v>
      </c>
      <c r="C34" s="25"/>
      <c r="E34" s="1"/>
      <c r="F34" s="3">
        <v>2521.5</v>
      </c>
    </row>
    <row r="35" spans="1:6" ht="12.75">
      <c r="A35" s="25"/>
      <c r="B35" s="25" t="s">
        <v>10</v>
      </c>
      <c r="C35" s="25"/>
      <c r="E35" s="1"/>
      <c r="F35" s="3">
        <v>0</v>
      </c>
    </row>
    <row r="36" spans="1:6" ht="12.75">
      <c r="A36" s="25"/>
      <c r="B36" s="25" t="s">
        <v>11</v>
      </c>
      <c r="C36" s="25"/>
      <c r="F36" s="3">
        <v>105245.7</v>
      </c>
    </row>
    <row r="37" spans="1:6" ht="13.5" thickBot="1">
      <c r="A37" s="25"/>
      <c r="B37" s="25" t="s">
        <v>87</v>
      </c>
      <c r="C37" s="25"/>
      <c r="F37" s="54">
        <f>$F$38-($F$27+SUM($F$32:$F$36))</f>
        <v>38304.59999999998</v>
      </c>
    </row>
    <row r="38" spans="1:6" ht="13.5" thickBot="1">
      <c r="A38" s="25"/>
      <c r="B38" s="25" t="s">
        <v>88</v>
      </c>
      <c r="C38" s="25"/>
      <c r="F38" s="55">
        <f>$F$14+$F$18+$F$19+$F$20</f>
        <v>436449.89999999997</v>
      </c>
    </row>
    <row r="39" spans="1:3" ht="12.75">
      <c r="A39" s="25"/>
      <c r="B39" s="25"/>
      <c r="C39" s="25"/>
    </row>
    <row r="40" spans="1:6" ht="12.75">
      <c r="A40" s="48" t="s">
        <v>89</v>
      </c>
      <c r="B40" s="25"/>
      <c r="C40" s="25"/>
      <c r="E40" s="1"/>
      <c r="F40" s="1"/>
    </row>
    <row r="41" spans="1:6" ht="12.75">
      <c r="A41" s="48" t="s">
        <v>90</v>
      </c>
      <c r="B41" s="25"/>
      <c r="C41" s="25"/>
      <c r="E41" s="1"/>
      <c r="F41" s="1"/>
    </row>
    <row r="42" spans="1:6" ht="12.75">
      <c r="A42" s="25"/>
      <c r="B42" s="50" t="s">
        <v>91</v>
      </c>
      <c r="C42" s="25"/>
      <c r="F42" s="1"/>
    </row>
    <row r="43" spans="1:7" ht="12.75">
      <c r="A43" s="25"/>
      <c r="B43" s="25"/>
      <c r="C43" s="25" t="s">
        <v>27</v>
      </c>
      <c r="E43" s="5">
        <v>17091.3</v>
      </c>
      <c r="F43" s="56" t="s">
        <v>138</v>
      </c>
      <c r="G43" s="57">
        <f>IF(E43&gt;0,E43/$F$50,0)</f>
        <v>0.008506668616398783</v>
      </c>
    </row>
    <row r="44" spans="1:7" ht="12.75">
      <c r="A44" s="25"/>
      <c r="B44" s="25"/>
      <c r="C44" s="25" t="s">
        <v>28</v>
      </c>
      <c r="E44" s="5">
        <v>1497234</v>
      </c>
      <c r="F44" s="56" t="s">
        <v>138</v>
      </c>
      <c r="G44" s="57">
        <f aca="true" t="shared" si="0" ref="G44:G50">IF(E44&gt;0,E44/$F$50,0)</f>
        <v>0.7452021484149958</v>
      </c>
    </row>
    <row r="45" spans="1:7" ht="12.75">
      <c r="A45" s="25"/>
      <c r="B45" s="25"/>
      <c r="C45" s="25" t="s">
        <v>29</v>
      </c>
      <c r="E45" s="5">
        <v>131195.4</v>
      </c>
      <c r="F45" s="56" t="s">
        <v>138</v>
      </c>
      <c r="G45" s="57">
        <f t="shared" si="0"/>
        <v>0.06529847301234458</v>
      </c>
    </row>
    <row r="46" spans="1:7" ht="12.75">
      <c r="A46" s="25"/>
      <c r="B46" s="25"/>
      <c r="C46" s="25" t="s">
        <v>30</v>
      </c>
      <c r="E46" s="5">
        <v>295161.2</v>
      </c>
      <c r="F46" s="56" t="s">
        <v>138</v>
      </c>
      <c r="G46" s="57">
        <f t="shared" si="0"/>
        <v>0.14690740416578052</v>
      </c>
    </row>
    <row r="47" spans="1:7" ht="12.75">
      <c r="A47" s="25"/>
      <c r="B47" s="25"/>
      <c r="C47" s="25" t="s">
        <v>31</v>
      </c>
      <c r="E47" s="5">
        <v>0</v>
      </c>
      <c r="F47" s="56" t="s">
        <v>138</v>
      </c>
      <c r="G47" s="57">
        <f t="shared" si="0"/>
        <v>0</v>
      </c>
    </row>
    <row r="48" spans="1:7" ht="12.75">
      <c r="A48" s="25"/>
      <c r="B48" s="25"/>
      <c r="C48" s="25" t="s">
        <v>32</v>
      </c>
      <c r="E48" s="5">
        <v>0</v>
      </c>
      <c r="F48" s="56" t="s">
        <v>138</v>
      </c>
      <c r="G48" s="57">
        <f t="shared" si="0"/>
        <v>0</v>
      </c>
    </row>
    <row r="49" spans="1:7" ht="12.75">
      <c r="A49" s="25"/>
      <c r="B49" s="25"/>
      <c r="C49" s="25" t="s">
        <v>33</v>
      </c>
      <c r="E49" s="5">
        <v>68483</v>
      </c>
      <c r="F49" s="56" t="s">
        <v>138</v>
      </c>
      <c r="G49" s="57">
        <f t="shared" si="0"/>
        <v>0.034085305790480414</v>
      </c>
    </row>
    <row r="50" spans="1:7" ht="13.5" thickBot="1">
      <c r="A50" s="25"/>
      <c r="B50" s="25"/>
      <c r="C50" s="25" t="s">
        <v>34</v>
      </c>
      <c r="E50" s="5">
        <v>0</v>
      </c>
      <c r="F50" s="55">
        <f>SUM($E$43:$E$50)</f>
        <v>2009164.9</v>
      </c>
      <c r="G50" s="57">
        <f t="shared" si="0"/>
        <v>0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92</v>
      </c>
      <c r="B52" s="25"/>
      <c r="C52" s="25"/>
      <c r="E52" s="6"/>
      <c r="F52" s="6"/>
    </row>
    <row r="53" spans="1:3" ht="12.75">
      <c r="A53" s="25"/>
      <c r="B53" s="50" t="s">
        <v>93</v>
      </c>
      <c r="C53" s="25"/>
    </row>
    <row r="54" spans="1:5" ht="12.75">
      <c r="A54" s="25"/>
      <c r="B54" s="25"/>
      <c r="C54" s="25" t="s">
        <v>82</v>
      </c>
      <c r="E54" s="5">
        <v>0</v>
      </c>
    </row>
    <row r="55" spans="1:5" ht="12.75">
      <c r="A55" s="25"/>
      <c r="B55" s="25"/>
      <c r="C55" s="25" t="s">
        <v>83</v>
      </c>
      <c r="E55" s="5">
        <v>1331435.158</v>
      </c>
    </row>
    <row r="56" spans="1:5" ht="12.75">
      <c r="A56" s="25"/>
      <c r="B56" s="25"/>
      <c r="C56" s="25" t="s">
        <v>84</v>
      </c>
      <c r="E56" s="5">
        <v>11798.156</v>
      </c>
    </row>
    <row r="57" spans="1:6" ht="12.75">
      <c r="A57" s="25"/>
      <c r="B57" s="25"/>
      <c r="C57" s="25" t="s">
        <v>94</v>
      </c>
      <c r="E57" s="5">
        <v>437341.056</v>
      </c>
      <c r="F57" s="3">
        <f>SUM($E$54:$E$57)</f>
        <v>1780574.37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95</v>
      </c>
      <c r="B59" s="25"/>
      <c r="C59" s="25"/>
      <c r="E59" s="1"/>
      <c r="F59" s="1"/>
    </row>
    <row r="60" spans="1:6" ht="12.75">
      <c r="A60" s="25"/>
      <c r="B60" s="25"/>
      <c r="C60" s="25" t="s">
        <v>13</v>
      </c>
      <c r="F60" s="3">
        <v>145199.6</v>
      </c>
    </row>
    <row r="61" spans="1:6" ht="12.75">
      <c r="A61" s="25"/>
      <c r="B61" s="25"/>
      <c r="C61" s="25" t="s">
        <v>14</v>
      </c>
      <c r="F61" s="3">
        <f>$F$36</f>
        <v>105245.7</v>
      </c>
    </row>
    <row r="62" spans="1:6" ht="12.75">
      <c r="A62" s="25"/>
      <c r="B62" s="25"/>
      <c r="C62" s="25" t="s">
        <v>139</v>
      </c>
      <c r="F62" s="3">
        <v>0</v>
      </c>
    </row>
    <row r="63" spans="1:6" ht="12.75">
      <c r="A63" s="25"/>
      <c r="B63" s="25"/>
      <c r="C63" s="25" t="s">
        <v>15</v>
      </c>
      <c r="E63" s="5">
        <v>0</v>
      </c>
      <c r="F63" s="1"/>
    </row>
    <row r="64" spans="1:6" ht="13.5" thickBot="1">
      <c r="A64" s="25"/>
      <c r="B64" s="25"/>
      <c r="C64" s="25" t="s">
        <v>96</v>
      </c>
      <c r="E64" s="5">
        <v>59532.4</v>
      </c>
      <c r="F64" s="55">
        <f>$E$64+$E$63</f>
        <v>59532.4</v>
      </c>
    </row>
    <row r="65" spans="1:6" ht="13.5" thickBot="1">
      <c r="A65" s="25"/>
      <c r="B65" s="25"/>
      <c r="C65" s="25" t="s">
        <v>16</v>
      </c>
      <c r="F65" s="55">
        <f>$F$60+$F$61+$F$62-$F$64</f>
        <v>190912.9</v>
      </c>
    </row>
    <row r="66" spans="1:6" ht="12.75">
      <c r="A66" s="25"/>
      <c r="B66" s="25"/>
      <c r="C66" s="25"/>
      <c r="F66" s="1"/>
    </row>
    <row r="67" spans="1:6" ht="12.75">
      <c r="A67" s="48" t="s">
        <v>97</v>
      </c>
      <c r="B67" s="25"/>
      <c r="C67" s="25"/>
      <c r="F67" s="1"/>
    </row>
    <row r="68" spans="1:6" ht="12.75">
      <c r="A68" s="25"/>
      <c r="B68" s="25"/>
      <c r="C68" s="25" t="s">
        <v>13</v>
      </c>
      <c r="E68" s="26"/>
      <c r="F68" s="3">
        <v>179184</v>
      </c>
    </row>
    <row r="69" spans="1:6" ht="12.75">
      <c r="A69" s="25"/>
      <c r="B69" s="25"/>
      <c r="C69" s="25" t="s">
        <v>54</v>
      </c>
      <c r="E69" s="5">
        <v>3775.708800000001</v>
      </c>
      <c r="F69" s="58"/>
    </row>
    <row r="70" spans="1:6" ht="12.75">
      <c r="A70" s="25"/>
      <c r="B70" s="25"/>
      <c r="C70" s="25" t="s">
        <v>98</v>
      </c>
      <c r="E70" s="5">
        <v>2239.8</v>
      </c>
      <c r="F70" s="3">
        <f>$E$69+$E$70</f>
        <v>6015.508800000001</v>
      </c>
    </row>
    <row r="71" spans="1:6" ht="12.75">
      <c r="A71" s="25"/>
      <c r="B71" s="25"/>
      <c r="C71" s="25" t="s">
        <v>55</v>
      </c>
      <c r="E71" s="5">
        <v>3244.314</v>
      </c>
      <c r="F71" s="60"/>
    </row>
    <row r="72" spans="1:6" ht="13.5" thickBot="1">
      <c r="A72" s="49"/>
      <c r="B72" s="49"/>
      <c r="C72" s="25" t="s">
        <v>99</v>
      </c>
      <c r="E72" s="5">
        <v>0</v>
      </c>
      <c r="F72" s="55">
        <f>$E$72+$E$71</f>
        <v>3244.314</v>
      </c>
    </row>
    <row r="73" spans="1:6" ht="13.5" thickBot="1">
      <c r="A73" s="49"/>
      <c r="B73" s="49"/>
      <c r="C73" s="25" t="s">
        <v>16</v>
      </c>
      <c r="E73" s="26"/>
      <c r="F73" s="55">
        <f>$F$68+$F$70-$F$72</f>
        <v>181955.1948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100</v>
      </c>
      <c r="B75" s="49"/>
      <c r="C75" s="25"/>
      <c r="E75" s="60"/>
      <c r="F75" s="61"/>
    </row>
    <row r="76" spans="1:7" ht="13.5" thickBot="1">
      <c r="A76" s="25"/>
      <c r="B76" s="25" t="s">
        <v>17</v>
      </c>
      <c r="C76" s="25" t="s">
        <v>101</v>
      </c>
      <c r="D76" s="26"/>
      <c r="E76" s="55">
        <f>$E$16-$E$17</f>
        <v>44853.700000000004</v>
      </c>
      <c r="F76" s="55">
        <f>$F$18</f>
        <v>41810.9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12.75">
      <c r="A78" s="25"/>
      <c r="B78" s="25" t="s">
        <v>20</v>
      </c>
      <c r="C78" s="25" t="s">
        <v>102</v>
      </c>
      <c r="D78" s="26"/>
      <c r="E78" s="58" t="s">
        <v>18</v>
      </c>
      <c r="F78" s="58" t="s">
        <v>19</v>
      </c>
      <c r="G78" s="26"/>
    </row>
    <row r="79" spans="1:7" ht="12.75">
      <c r="A79" s="25"/>
      <c r="B79" s="25"/>
      <c r="C79" s="25" t="s">
        <v>21</v>
      </c>
      <c r="D79" s="26"/>
      <c r="E79" s="3">
        <v>1986154.9</v>
      </c>
      <c r="F79" s="3">
        <v>2051317.4</v>
      </c>
      <c r="G79" s="26"/>
    </row>
    <row r="80" spans="1:7" ht="12.75">
      <c r="A80" s="25"/>
      <c r="B80" s="25"/>
      <c r="C80" s="25" t="s">
        <v>23</v>
      </c>
      <c r="D80" s="26"/>
      <c r="E80" s="3">
        <v>2009164.9</v>
      </c>
      <c r="F80" s="3">
        <v>2001781.4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22</v>
      </c>
      <c r="C82" s="25" t="s">
        <v>103</v>
      </c>
      <c r="D82" s="59"/>
      <c r="E82" s="26"/>
      <c r="F82" s="59"/>
      <c r="G82" s="26"/>
    </row>
    <row r="83" spans="1:7" ht="13.5" thickBot="1">
      <c r="A83" s="25"/>
      <c r="B83" s="25"/>
      <c r="C83" s="25" t="s">
        <v>104</v>
      </c>
      <c r="D83" s="59"/>
      <c r="E83" s="61"/>
      <c r="F83" s="55">
        <f>$F$79-$E$79</f>
        <v>65162.5</v>
      </c>
      <c r="G83" s="61"/>
    </row>
    <row r="84" spans="1:7" ht="13.5" thickBot="1">
      <c r="A84" s="25"/>
      <c r="B84" s="25"/>
      <c r="C84" s="25" t="s">
        <v>105</v>
      </c>
      <c r="D84" s="26"/>
      <c r="E84" s="26"/>
      <c r="F84" s="55">
        <f>$F$80-$E$80</f>
        <v>-7383.5</v>
      </c>
      <c r="G84" s="26"/>
    </row>
    <row r="85" spans="1:7" ht="13.5" thickBot="1">
      <c r="A85" s="25"/>
      <c r="B85" s="25"/>
      <c r="C85" s="25" t="s">
        <v>106</v>
      </c>
      <c r="D85" s="59"/>
      <c r="E85" s="26"/>
      <c r="F85" s="55">
        <f>$F$84-$F$83</f>
        <v>-72546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24</v>
      </c>
      <c r="C87" s="25" t="s">
        <v>107</v>
      </c>
      <c r="D87" s="59"/>
      <c r="E87" s="57">
        <f>IF($E$79+$E$80&gt;0,E$76/(($E$79+$E$80)/2),0)</f>
        <v>0.022453121274547287</v>
      </c>
      <c r="F87" s="57">
        <f>IF($E$79+$E$80&gt;0,F$76/(($E$79+$E$80)/2),0)</f>
        <v>0.020929939075214957</v>
      </c>
      <c r="G87" s="61"/>
    </row>
    <row r="88" spans="1:7" ht="12.75">
      <c r="A88" s="25"/>
      <c r="B88" s="25" t="s">
        <v>25</v>
      </c>
      <c r="C88" s="25" t="s">
        <v>108</v>
      </c>
      <c r="D88" s="26"/>
      <c r="E88" s="57">
        <f>IF($F$79+$F$80&gt;0,(E$76+($F$80-$E$80)-($F$79-$E$79))/(($F$79+$F$80)/2),0)</f>
        <v>-0.013664754483655813</v>
      </c>
      <c r="F88" s="57">
        <f>IF($F$79+$F$80&gt;0,(F$76+($F$80-$E$80)-($F$79-$E$79))/(($F$79+$F$80)/2),0)</f>
        <v>-0.01516622294033395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26</v>
      </c>
      <c r="C90" s="25" t="s">
        <v>109</v>
      </c>
      <c r="D90" s="26"/>
      <c r="E90" s="59"/>
      <c r="F90" s="26"/>
      <c r="G90" s="62"/>
    </row>
    <row r="91" spans="1:7" ht="12.75">
      <c r="A91" s="25"/>
      <c r="B91" s="25"/>
      <c r="C91" s="25" t="s">
        <v>110</v>
      </c>
      <c r="D91" s="26"/>
      <c r="E91" s="68"/>
      <c r="F91" s="67"/>
      <c r="G91" s="59"/>
    </row>
    <row r="92" spans="1:7" ht="12.75">
      <c r="A92" s="25"/>
      <c r="B92" s="25"/>
      <c r="C92" s="25" t="s">
        <v>111</v>
      </c>
      <c r="D92" s="26"/>
      <c r="E92" s="68"/>
      <c r="F92" s="67"/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35</v>
      </c>
      <c r="C94" s="25" t="s">
        <v>37</v>
      </c>
      <c r="D94" s="26"/>
      <c r="E94" s="64"/>
      <c r="F94" s="26"/>
      <c r="G94" s="65"/>
    </row>
    <row r="95" spans="1:7" ht="12.75">
      <c r="A95" s="25"/>
      <c r="B95" s="25"/>
      <c r="C95" s="25" t="s">
        <v>112</v>
      </c>
      <c r="D95" s="26"/>
      <c r="E95" s="26"/>
      <c r="F95" s="8">
        <v>134875</v>
      </c>
      <c r="G95" s="26"/>
    </row>
    <row r="96" spans="1:7" ht="12.75">
      <c r="A96" s="25"/>
      <c r="B96" s="25"/>
      <c r="C96" s="25" t="s">
        <v>113</v>
      </c>
      <c r="D96" s="26"/>
      <c r="E96" s="26"/>
      <c r="F96" s="8">
        <v>7469</v>
      </c>
      <c r="G96" s="26"/>
    </row>
    <row r="97" spans="1:7" ht="13.5" thickBot="1">
      <c r="A97" s="25"/>
      <c r="B97" s="25"/>
      <c r="C97" s="25" t="s">
        <v>114</v>
      </c>
      <c r="D97" s="26"/>
      <c r="E97" s="61"/>
      <c r="F97" s="69">
        <v>697</v>
      </c>
      <c r="G97" s="26"/>
    </row>
    <row r="98" spans="1:7" ht="13.5" thickBot="1">
      <c r="A98" s="25"/>
      <c r="B98" s="25"/>
      <c r="C98" s="25" t="s">
        <v>115</v>
      </c>
      <c r="D98" s="26"/>
      <c r="E98" s="61"/>
      <c r="F98" s="70">
        <f>SUM($F$95:$F$97)</f>
        <v>143041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36</v>
      </c>
      <c r="C100" s="25" t="s">
        <v>43</v>
      </c>
    </row>
    <row r="101" spans="1:6" ht="12.75">
      <c r="A101" s="25"/>
      <c r="B101" s="25"/>
      <c r="C101" s="25" t="s">
        <v>116</v>
      </c>
      <c r="F101" s="3">
        <f>$E$18</f>
        <v>3042.8</v>
      </c>
    </row>
    <row r="102" spans="1:6" ht="12.75">
      <c r="A102" s="25"/>
      <c r="B102" s="25"/>
      <c r="C102" s="25" t="s">
        <v>117</v>
      </c>
      <c r="F102" s="57">
        <f>IF($F$101&gt;0,$F$101/(($F$79+$F$80)/2),0)</f>
        <v>0.001501468456678135</v>
      </c>
    </row>
    <row r="103" spans="1:5" ht="12.75">
      <c r="A103" s="25"/>
      <c r="B103" s="25"/>
      <c r="C103" s="25" t="s">
        <v>9</v>
      </c>
      <c r="E103" s="5">
        <v>30660.4</v>
      </c>
    </row>
    <row r="104" spans="1:6" ht="13.5" thickBot="1">
      <c r="A104" s="25"/>
      <c r="B104" s="25"/>
      <c r="C104" s="25" t="s">
        <v>118</v>
      </c>
      <c r="E104" s="5">
        <v>0</v>
      </c>
      <c r="F104" s="55">
        <f>$E$103-$E$104</f>
        <v>30660.4</v>
      </c>
    </row>
    <row r="105" spans="1:6" ht="12.75">
      <c r="A105" s="25"/>
      <c r="B105" s="25"/>
      <c r="C105" s="25" t="s">
        <v>119</v>
      </c>
      <c r="F105" s="3">
        <f>IF(F$98&gt;0,(1000*F$104)/F$98,0)</f>
        <v>214.3469354940192</v>
      </c>
    </row>
    <row r="106" spans="1:6" ht="12.75">
      <c r="A106" s="25"/>
      <c r="B106" s="25"/>
      <c r="C106" s="25" t="s">
        <v>120</v>
      </c>
      <c r="F106" s="3">
        <f>IF($F$98&gt;0,$E$14*1000/$F$98,0)</f>
        <v>128.32374074566033</v>
      </c>
    </row>
    <row r="107" spans="1:3" ht="12.75">
      <c r="A107" s="25"/>
      <c r="B107" s="25"/>
      <c r="C107" s="25"/>
    </row>
    <row r="108" spans="1:3" ht="12.75">
      <c r="A108" s="48" t="s">
        <v>144</v>
      </c>
      <c r="B108" s="25"/>
      <c r="C108" s="25"/>
    </row>
    <row r="109" spans="1:7" ht="12.75">
      <c r="A109" s="25"/>
      <c r="B109" s="50" t="s">
        <v>56</v>
      </c>
      <c r="C109" s="25"/>
      <c r="D109" s="108" t="s">
        <v>142</v>
      </c>
      <c r="E109" s="108"/>
      <c r="F109" s="108" t="s">
        <v>143</v>
      </c>
      <c r="G109" s="108"/>
    </row>
    <row r="110" spans="1:6" ht="12.75">
      <c r="A110" s="25"/>
      <c r="B110" s="25"/>
      <c r="C110" s="25" t="s">
        <v>121</v>
      </c>
      <c r="D110" s="89">
        <v>25457</v>
      </c>
      <c r="F110" s="89">
        <v>16351</v>
      </c>
    </row>
    <row r="111" spans="1:6" ht="12.75">
      <c r="A111" s="25"/>
      <c r="B111" s="25"/>
      <c r="C111" s="25" t="s">
        <v>122</v>
      </c>
      <c r="D111" s="5">
        <v>133164.515032</v>
      </c>
      <c r="F111" s="5">
        <v>173082.60776800002</v>
      </c>
    </row>
    <row r="112" spans="1:7" ht="12.75">
      <c r="A112" s="25"/>
      <c r="B112" s="25"/>
      <c r="C112" s="25" t="s">
        <v>123</v>
      </c>
      <c r="D112" s="5">
        <v>8545.980968</v>
      </c>
      <c r="E112" s="3">
        <f>SUM($D$110:$D$112)</f>
        <v>167167.49599999998</v>
      </c>
      <c r="F112" s="5">
        <v>9809.575232000001</v>
      </c>
      <c r="G112" s="3">
        <f>SUM($F$110:$F$112)</f>
        <v>199243.18300000002</v>
      </c>
    </row>
    <row r="113" spans="1:3" ht="12.75">
      <c r="A113" s="25"/>
      <c r="B113" s="50" t="s">
        <v>57</v>
      </c>
      <c r="C113" s="25"/>
    </row>
    <row r="114" spans="1:6" ht="12.75">
      <c r="A114" s="25"/>
      <c r="B114" s="25"/>
      <c r="C114" s="25" t="s">
        <v>124</v>
      </c>
      <c r="D114" s="5">
        <v>28721.61331736538</v>
      </c>
      <c r="F114" s="5">
        <v>16803.333240634627</v>
      </c>
    </row>
    <row r="115" spans="1:6" ht="12.75">
      <c r="A115" s="25"/>
      <c r="B115" s="25"/>
      <c r="C115" s="25" t="s">
        <v>125</v>
      </c>
      <c r="D115" s="5">
        <v>60532.05329369996</v>
      </c>
      <c r="F115" s="5">
        <v>50911.621771300044</v>
      </c>
    </row>
    <row r="116" spans="1:7" ht="12.75">
      <c r="A116" s="25"/>
      <c r="B116" s="25"/>
      <c r="C116" s="25" t="s">
        <v>126</v>
      </c>
      <c r="D116" s="5">
        <v>12313.3018639059</v>
      </c>
      <c r="E116" s="3">
        <f>SUM($D$114:$D$116)</f>
        <v>101566.96847497123</v>
      </c>
      <c r="F116" s="5">
        <v>15891.398136094102</v>
      </c>
      <c r="G116" s="3">
        <f>SUM($F$114:$F$116)</f>
        <v>83606.35314802876</v>
      </c>
    </row>
    <row r="117" spans="1:7" ht="14.25">
      <c r="A117" s="25"/>
      <c r="B117" s="51" t="s">
        <v>136</v>
      </c>
      <c r="C117" s="25"/>
      <c r="E117" s="3">
        <f>$E$112-$E$116</f>
        <v>65600.52752502875</v>
      </c>
      <c r="G117" s="3">
        <f>$G$112-$G$116</f>
        <v>115636.82985197126</v>
      </c>
    </row>
    <row r="118" spans="1:3" ht="12.75">
      <c r="A118" s="25"/>
      <c r="B118" s="50" t="s">
        <v>127</v>
      </c>
      <c r="C118" s="25"/>
    </row>
    <row r="119" spans="1:6" ht="12.75">
      <c r="A119" s="25"/>
      <c r="B119" s="25"/>
      <c r="C119" s="25" t="s">
        <v>128</v>
      </c>
      <c r="D119" s="5">
        <v>5883.716747634622</v>
      </c>
      <c r="F119" s="5">
        <v>-9580.918570634625</v>
      </c>
    </row>
    <row r="120" spans="1:6" ht="12.75">
      <c r="A120" s="25"/>
      <c r="B120" s="25"/>
      <c r="C120" s="25" t="s">
        <v>129</v>
      </c>
      <c r="D120" s="5">
        <v>0</v>
      </c>
      <c r="F120" s="5">
        <v>0</v>
      </c>
    </row>
    <row r="121" spans="1:6" ht="12.75">
      <c r="A121" s="25"/>
      <c r="B121" s="25"/>
      <c r="C121" s="25" t="s">
        <v>130</v>
      </c>
      <c r="D121" s="5">
        <v>-8</v>
      </c>
      <c r="F121" s="5">
        <v>-42</v>
      </c>
    </row>
    <row r="122" spans="1:6" ht="12.75">
      <c r="A122" s="25"/>
      <c r="B122" s="25"/>
      <c r="C122" s="25" t="s">
        <v>131</v>
      </c>
      <c r="D122" s="5">
        <v>2728</v>
      </c>
      <c r="F122" s="5">
        <v>3020</v>
      </c>
    </row>
    <row r="123" spans="1:6" ht="12.75">
      <c r="A123" s="25"/>
      <c r="B123" s="25"/>
      <c r="C123" s="25" t="s">
        <v>132</v>
      </c>
      <c r="D123" s="5">
        <v>5686</v>
      </c>
      <c r="F123" s="5">
        <v>30000</v>
      </c>
    </row>
    <row r="124" spans="1:6" ht="12.75">
      <c r="A124" s="25"/>
      <c r="B124" s="25"/>
      <c r="C124" s="25" t="s">
        <v>133</v>
      </c>
      <c r="D124" s="5">
        <v>0</v>
      </c>
      <c r="F124" s="5">
        <v>0</v>
      </c>
    </row>
    <row r="125" spans="1:6" ht="12.75">
      <c r="A125" s="25"/>
      <c r="B125" s="25"/>
      <c r="C125" s="25" t="s">
        <v>134</v>
      </c>
      <c r="D125" s="5">
        <v>0</v>
      </c>
      <c r="F125" s="5">
        <v>0</v>
      </c>
    </row>
    <row r="126" spans="1:7" ht="12.75">
      <c r="A126" s="25"/>
      <c r="B126" s="25"/>
      <c r="C126" s="25" t="s">
        <v>135</v>
      </c>
      <c r="D126" s="5">
        <v>0</v>
      </c>
      <c r="E126" s="3">
        <f>SUM($D$119:$D$126)</f>
        <v>14289.716747634622</v>
      </c>
      <c r="F126" s="5">
        <v>0</v>
      </c>
      <c r="G126" s="3">
        <f>SUM($F$119:$F$126)</f>
        <v>23397.081429365375</v>
      </c>
    </row>
    <row r="127" spans="1:5" ht="12.75">
      <c r="A127" s="25"/>
      <c r="B127" s="25" t="s">
        <v>58</v>
      </c>
      <c r="C127" s="25"/>
      <c r="E127" s="3">
        <v>0</v>
      </c>
    </row>
    <row r="128" spans="1:7" ht="13.5" thickBot="1">
      <c r="A128" s="25"/>
      <c r="B128" s="25" t="s">
        <v>59</v>
      </c>
      <c r="C128" s="25"/>
      <c r="E128" s="54">
        <v>44000</v>
      </c>
      <c r="G128" s="55">
        <v>61246</v>
      </c>
    </row>
    <row r="129" spans="1:7" ht="13.5" thickBot="1">
      <c r="A129" s="25"/>
      <c r="B129" s="25" t="s">
        <v>12</v>
      </c>
      <c r="C129" s="25"/>
      <c r="E129" s="55">
        <f>$E$117-SUM($E$126:$E$128)</f>
        <v>7310.81077739413</v>
      </c>
      <c r="G129" s="55">
        <f>$G$117-$G$126-$G$128</f>
        <v>30993.748422605888</v>
      </c>
    </row>
    <row r="130" spans="1:7" ht="12.75">
      <c r="A130" s="25"/>
      <c r="B130" s="25" t="s">
        <v>64</v>
      </c>
      <c r="C130" s="25"/>
      <c r="E130" s="57">
        <f>IF(E$112&gt;0,MIN(MAX((E$116+E$126+E$127+E$128)/E$112,0.9),1),0)</f>
        <v>0.9562665532933858</v>
      </c>
      <c r="G130" s="57">
        <f>IF(G$112&gt;0,MIN((G$116+G$126+G$127+G$128)/G$112,1),0)</f>
        <v>0.8444426155217271</v>
      </c>
    </row>
    <row r="131" spans="1:3" ht="12.75">
      <c r="A131" s="25"/>
      <c r="C131" s="25"/>
    </row>
    <row r="132" spans="1:6" ht="12.75">
      <c r="A132" s="25"/>
      <c r="B132" s="50" t="s">
        <v>60</v>
      </c>
      <c r="C132" s="25"/>
      <c r="F132" t="s">
        <v>141</v>
      </c>
    </row>
    <row r="133" spans="1:6" ht="12.75">
      <c r="A133" s="25"/>
      <c r="B133" s="25"/>
      <c r="C133" s="25" t="s">
        <v>61</v>
      </c>
      <c r="E133" s="3">
        <f>$E$129</f>
        <v>7310.81077739413</v>
      </c>
      <c r="F133" s="57">
        <f>IF($E$112&gt;0,$E$133/$E$112,0)</f>
        <v>0.04373344670661413</v>
      </c>
    </row>
    <row r="134" spans="1:6" ht="12.75">
      <c r="A134" s="25"/>
      <c r="B134" s="25"/>
      <c r="C134" s="25" t="s">
        <v>62</v>
      </c>
      <c r="E134" s="3">
        <f>$G$129</f>
        <v>30993.748422605888</v>
      </c>
      <c r="F134" s="57">
        <f>IF($G$112&gt;0,$E$134/$G$112,0)</f>
        <v>0.1555573844782729</v>
      </c>
    </row>
    <row r="135" spans="2:5" ht="12.75">
      <c r="B135" s="25"/>
      <c r="C135" s="25" t="s">
        <v>87</v>
      </c>
      <c r="E135" s="3">
        <f>SUM(E133:$E$134)</f>
        <v>38304.55920000002</v>
      </c>
    </row>
    <row r="137" spans="2:3" ht="12.75">
      <c r="B137" s="53" t="s">
        <v>137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43" right="0.16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>
    <tabColor indexed="1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47" t="s">
        <v>69</v>
      </c>
      <c r="B1" s="47"/>
      <c r="C1" s="25"/>
    </row>
    <row r="2" spans="1:3" ht="12.75">
      <c r="A2" s="25" t="s">
        <v>0</v>
      </c>
      <c r="B2" s="25"/>
      <c r="C2" s="25"/>
    </row>
    <row r="3" spans="1:3" ht="12.75">
      <c r="A3" s="48" t="s">
        <v>67</v>
      </c>
      <c r="B3" s="48"/>
      <c r="C3" s="25"/>
    </row>
    <row r="4" spans="1:3" ht="12.75">
      <c r="A4" s="25"/>
      <c r="B4" s="25"/>
      <c r="C4" s="25"/>
    </row>
    <row r="5" spans="1:3" ht="12.75">
      <c r="A5" s="25" t="s">
        <v>38</v>
      </c>
      <c r="B5" s="25"/>
      <c r="C5" s="25"/>
    </row>
    <row r="6" spans="1:3" ht="12.75">
      <c r="A6" s="25"/>
      <c r="B6" s="25"/>
      <c r="C6" s="25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</v>
      </c>
      <c r="F8" s="2" t="s">
        <v>2</v>
      </c>
      <c r="G8" s="2"/>
    </row>
    <row r="9" spans="1:3" ht="12.75">
      <c r="A9" s="48" t="s">
        <v>70</v>
      </c>
      <c r="B9" s="48"/>
      <c r="C9" s="25"/>
    </row>
    <row r="10" spans="1:6" ht="12.75">
      <c r="A10" s="48" t="s">
        <v>71</v>
      </c>
      <c r="B10" s="25"/>
      <c r="C10" s="25"/>
      <c r="E10" s="1"/>
      <c r="F10" s="1"/>
    </row>
    <row r="11" spans="1:3" ht="12.75">
      <c r="A11" s="25"/>
      <c r="B11" s="50" t="s">
        <v>75</v>
      </c>
      <c r="C11" s="25"/>
    </row>
    <row r="12" spans="1:6" ht="12.75">
      <c r="A12" s="25"/>
      <c r="B12" s="25"/>
      <c r="C12" s="25" t="s">
        <v>3</v>
      </c>
      <c r="E12" s="5">
        <f>$F$14-E$13-E$14</f>
        <v>287707</v>
      </c>
      <c r="F12" s="1"/>
    </row>
    <row r="13" spans="1:6" ht="12.75">
      <c r="A13" s="25"/>
      <c r="B13" s="25"/>
      <c r="C13" s="25" t="s">
        <v>4</v>
      </c>
      <c r="E13" s="5">
        <v>31323</v>
      </c>
      <c r="F13" s="1"/>
    </row>
    <row r="14" spans="1:6" ht="12.75">
      <c r="A14" s="25"/>
      <c r="B14" s="25"/>
      <c r="C14" s="25" t="s">
        <v>5</v>
      </c>
      <c r="E14" s="5">
        <v>9985</v>
      </c>
      <c r="F14" s="3">
        <v>329015</v>
      </c>
    </row>
    <row r="15" spans="1:6" ht="12.75">
      <c r="A15" s="25"/>
      <c r="B15" s="50" t="s">
        <v>72</v>
      </c>
      <c r="C15" s="25"/>
      <c r="E15" s="1"/>
      <c r="F15" s="1"/>
    </row>
    <row r="16" spans="1:6" ht="12.75">
      <c r="A16" s="25"/>
      <c r="B16" s="25"/>
      <c r="C16" s="25" t="s">
        <v>72</v>
      </c>
      <c r="E16" s="5">
        <v>54077</v>
      </c>
      <c r="F16" s="1"/>
    </row>
    <row r="17" spans="1:6" ht="12.75">
      <c r="A17" s="25"/>
      <c r="B17" s="25"/>
      <c r="C17" s="25" t="s">
        <v>73</v>
      </c>
      <c r="E17" s="5">
        <v>2237</v>
      </c>
      <c r="F17" s="1"/>
    </row>
    <row r="18" spans="1:6" ht="12.75">
      <c r="A18" s="25"/>
      <c r="B18" s="25"/>
      <c r="C18" s="25" t="s">
        <v>74</v>
      </c>
      <c r="E18" s="5">
        <v>4932</v>
      </c>
      <c r="F18" s="3">
        <f>$E$16-$E$17-$E$18</f>
        <v>46908</v>
      </c>
    </row>
    <row r="19" spans="1:6" ht="12.75">
      <c r="A19" s="25"/>
      <c r="B19" s="25" t="s">
        <v>76</v>
      </c>
      <c r="C19" s="25"/>
      <c r="F19" s="3">
        <v>643</v>
      </c>
    </row>
    <row r="20" spans="1:6" ht="13.5" thickBot="1">
      <c r="A20" s="25"/>
      <c r="B20" s="25" t="s">
        <v>77</v>
      </c>
      <c r="C20" s="25"/>
      <c r="E20" s="6"/>
      <c r="F20" s="54">
        <v>-791</v>
      </c>
    </row>
    <row r="21" spans="1:6" ht="13.5" thickBot="1">
      <c r="A21" s="25"/>
      <c r="B21" s="47" t="s">
        <v>78</v>
      </c>
      <c r="C21" s="25"/>
      <c r="E21" s="6"/>
      <c r="F21" s="55">
        <f>$F$14+$F$18+$F$19+$F$20</f>
        <v>375775</v>
      </c>
    </row>
    <row r="22" spans="1:5" ht="12.75">
      <c r="A22" s="25"/>
      <c r="B22" s="25"/>
      <c r="C22" s="25"/>
      <c r="E22" s="6"/>
    </row>
    <row r="23" spans="1:6" ht="12.75">
      <c r="A23" s="48" t="s">
        <v>79</v>
      </c>
      <c r="B23" s="25"/>
      <c r="C23" s="25"/>
      <c r="E23" s="6"/>
      <c r="F23" s="1"/>
    </row>
    <row r="24" spans="1:6" ht="12.75">
      <c r="A24" s="25"/>
      <c r="B24" s="50" t="s">
        <v>6</v>
      </c>
      <c r="C24" s="25"/>
      <c r="E24" s="6"/>
      <c r="F24" s="1"/>
    </row>
    <row r="25" spans="1:6" ht="12.75">
      <c r="A25" s="25"/>
      <c r="B25" s="25"/>
      <c r="C25" s="25" t="s">
        <v>7</v>
      </c>
      <c r="E25" s="5">
        <v>57807</v>
      </c>
      <c r="F25" s="1"/>
    </row>
    <row r="26" spans="1:6" ht="12.75">
      <c r="A26" s="25"/>
      <c r="B26" s="25"/>
      <c r="C26" s="25" t="s">
        <v>8</v>
      </c>
      <c r="E26" s="5">
        <v>107149</v>
      </c>
      <c r="F26" s="1"/>
    </row>
    <row r="27" spans="1:6" ht="12.75">
      <c r="A27" s="25"/>
      <c r="B27" s="25"/>
      <c r="C27" s="25" t="s">
        <v>80</v>
      </c>
      <c r="E27" s="5">
        <v>74530</v>
      </c>
      <c r="F27" s="3">
        <f>SUM($E$25:$E$27)</f>
        <v>239486</v>
      </c>
    </row>
    <row r="28" spans="1:5" ht="12.75">
      <c r="A28" s="25"/>
      <c r="B28" s="50" t="s">
        <v>81</v>
      </c>
      <c r="C28" s="25"/>
      <c r="E28" s="1"/>
    </row>
    <row r="29" spans="1:6" ht="12.75">
      <c r="A29" s="25"/>
      <c r="B29" s="25"/>
      <c r="C29" s="25" t="s">
        <v>82</v>
      </c>
      <c r="E29" s="5">
        <v>62728</v>
      </c>
      <c r="F29" s="1"/>
    </row>
    <row r="30" spans="1:6" ht="12.75">
      <c r="A30" s="25"/>
      <c r="B30" s="25"/>
      <c r="C30" s="25" t="s">
        <v>83</v>
      </c>
      <c r="E30" s="5">
        <v>54224</v>
      </c>
      <c r="F30" s="1"/>
    </row>
    <row r="31" spans="1:6" ht="12.75">
      <c r="A31" s="25"/>
      <c r="B31" s="25"/>
      <c r="C31" s="25" t="s">
        <v>84</v>
      </c>
      <c r="D31" s="1"/>
      <c r="E31" s="5">
        <v>-3022</v>
      </c>
      <c r="F31" s="1"/>
    </row>
    <row r="32" spans="1:6" ht="12.75">
      <c r="A32" s="25"/>
      <c r="B32" s="25"/>
      <c r="C32" s="25" t="s">
        <v>85</v>
      </c>
      <c r="D32" s="1"/>
      <c r="E32" s="5">
        <f>$F$32-SUM($E$29:$E$31)</f>
        <v>-8506</v>
      </c>
      <c r="F32" s="3">
        <v>105424</v>
      </c>
    </row>
    <row r="33" spans="1:6" ht="12.75">
      <c r="A33" s="25"/>
      <c r="B33" s="50" t="s">
        <v>9</v>
      </c>
      <c r="C33" s="25"/>
      <c r="D33" s="1"/>
      <c r="E33" s="1"/>
      <c r="F33" s="3">
        <v>13310</v>
      </c>
    </row>
    <row r="34" spans="1:6" ht="12.75">
      <c r="A34" s="25"/>
      <c r="B34" s="25" t="s">
        <v>86</v>
      </c>
      <c r="C34" s="25"/>
      <c r="E34" s="1"/>
      <c r="F34" s="3">
        <v>8561</v>
      </c>
    </row>
    <row r="35" spans="1:6" ht="12.75">
      <c r="A35" s="25"/>
      <c r="B35" s="25" t="s">
        <v>10</v>
      </c>
      <c r="C35" s="25"/>
      <c r="E35" s="1"/>
      <c r="F35" s="3">
        <v>0</v>
      </c>
    </row>
    <row r="36" spans="1:6" ht="12.75">
      <c r="A36" s="25"/>
      <c r="B36" s="25" t="s">
        <v>11</v>
      </c>
      <c r="C36" s="25"/>
      <c r="F36" s="3">
        <v>4459</v>
      </c>
    </row>
    <row r="37" spans="1:6" ht="13.5" thickBot="1">
      <c r="A37" s="25"/>
      <c r="B37" s="25" t="s">
        <v>87</v>
      </c>
      <c r="C37" s="25"/>
      <c r="F37" s="54">
        <f>$F$38-($F$27+SUM($F$32:$F$36))</f>
        <v>4535</v>
      </c>
    </row>
    <row r="38" spans="1:6" ht="13.5" thickBot="1">
      <c r="A38" s="25"/>
      <c r="B38" s="25" t="s">
        <v>88</v>
      </c>
      <c r="C38" s="25"/>
      <c r="F38" s="55">
        <f>$F$14+$F$18+$F$19+$F$20</f>
        <v>375775</v>
      </c>
    </row>
    <row r="39" spans="1:3" ht="12.75">
      <c r="A39" s="25"/>
      <c r="B39" s="25"/>
      <c r="C39" s="25"/>
    </row>
    <row r="40" spans="1:6" ht="12.75">
      <c r="A40" s="48" t="s">
        <v>89</v>
      </c>
      <c r="B40" s="25"/>
      <c r="C40" s="25"/>
      <c r="E40" s="1"/>
      <c r="F40" s="1"/>
    </row>
    <row r="41" spans="1:6" ht="12.75">
      <c r="A41" s="48" t="s">
        <v>90</v>
      </c>
      <c r="B41" s="25"/>
      <c r="C41" s="25"/>
      <c r="E41" s="1"/>
      <c r="F41" s="1"/>
    </row>
    <row r="42" spans="1:6" ht="12.75">
      <c r="A42" s="25"/>
      <c r="B42" s="50" t="s">
        <v>91</v>
      </c>
      <c r="C42" s="25"/>
      <c r="F42" s="1"/>
    </row>
    <row r="43" spans="1:7" ht="12.75">
      <c r="A43" s="25"/>
      <c r="B43" s="25"/>
      <c r="C43" s="25" t="s">
        <v>27</v>
      </c>
      <c r="E43" s="5">
        <v>166366</v>
      </c>
      <c r="F43" s="56" t="s">
        <v>138</v>
      </c>
      <c r="G43" s="57">
        <f>IF(E43&gt;0,E43/$F$50,0)</f>
        <v>0.10552026923315992</v>
      </c>
    </row>
    <row r="44" spans="1:7" ht="12.75">
      <c r="A44" s="25"/>
      <c r="B44" s="25"/>
      <c r="C44" s="25" t="s">
        <v>28</v>
      </c>
      <c r="E44" s="5">
        <v>1032626</v>
      </c>
      <c r="F44" s="56" t="s">
        <v>138</v>
      </c>
      <c r="G44" s="57">
        <f aca="true" t="shared" si="0" ref="G44:G50">IF(E44&gt;0,E44/$F$50,0)</f>
        <v>0.6549593879588438</v>
      </c>
    </row>
    <row r="45" spans="1:7" ht="12.75">
      <c r="A45" s="25"/>
      <c r="B45" s="25"/>
      <c r="C45" s="25" t="s">
        <v>29</v>
      </c>
      <c r="E45" s="5">
        <v>50408</v>
      </c>
      <c r="F45" s="56" t="s">
        <v>138</v>
      </c>
      <c r="G45" s="57">
        <f t="shared" si="0"/>
        <v>0.03197207200693126</v>
      </c>
    </row>
    <row r="46" spans="1:7" ht="12.75">
      <c r="A46" s="25"/>
      <c r="B46" s="25"/>
      <c r="C46" s="25" t="s">
        <v>30</v>
      </c>
      <c r="E46" s="5">
        <v>64075</v>
      </c>
      <c r="F46" s="56" t="s">
        <v>138</v>
      </c>
      <c r="G46" s="57">
        <f t="shared" si="0"/>
        <v>0.040640583118634346</v>
      </c>
    </row>
    <row r="47" spans="1:7" ht="12.75">
      <c r="A47" s="25"/>
      <c r="B47" s="25"/>
      <c r="C47" s="25" t="s">
        <v>31</v>
      </c>
      <c r="E47" s="5">
        <v>83284</v>
      </c>
      <c r="F47" s="56" t="s">
        <v>138</v>
      </c>
      <c r="G47" s="57">
        <f t="shared" si="0"/>
        <v>0.05282419546550672</v>
      </c>
    </row>
    <row r="48" spans="1:7" ht="12.75">
      <c r="A48" s="25"/>
      <c r="B48" s="25"/>
      <c r="C48" s="25" t="s">
        <v>32</v>
      </c>
      <c r="E48" s="5">
        <v>8705</v>
      </c>
      <c r="F48" s="56" t="s">
        <v>138</v>
      </c>
      <c r="G48" s="57">
        <f t="shared" si="0"/>
        <v>0.005521284058489458</v>
      </c>
    </row>
    <row r="49" spans="1:7" ht="12.75">
      <c r="A49" s="25"/>
      <c r="B49" s="25"/>
      <c r="C49" s="25" t="s">
        <v>33</v>
      </c>
      <c r="E49" s="5">
        <v>171162</v>
      </c>
      <c r="F49" s="56" t="s">
        <v>138</v>
      </c>
      <c r="G49" s="57">
        <f t="shared" si="0"/>
        <v>0.10856220815843454</v>
      </c>
    </row>
    <row r="50" spans="1:7" ht="13.5" thickBot="1">
      <c r="A50" s="25"/>
      <c r="B50" s="25"/>
      <c r="C50" s="25" t="s">
        <v>34</v>
      </c>
      <c r="E50" s="5">
        <v>0</v>
      </c>
      <c r="F50" s="55">
        <f>SUM($E$43:$E$50)</f>
        <v>1576626</v>
      </c>
      <c r="G50" s="57">
        <f t="shared" si="0"/>
        <v>0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92</v>
      </c>
      <c r="B52" s="25"/>
      <c r="C52" s="25"/>
      <c r="E52" s="6"/>
      <c r="F52" s="6"/>
    </row>
    <row r="53" spans="1:3" ht="12.75">
      <c r="A53" s="25"/>
      <c r="B53" s="50" t="s">
        <v>93</v>
      </c>
      <c r="C53" s="25"/>
    </row>
    <row r="54" spans="1:5" ht="12.75">
      <c r="A54" s="25"/>
      <c r="B54" s="25"/>
      <c r="C54" s="25" t="s">
        <v>82</v>
      </c>
      <c r="E54" s="5">
        <v>1011743</v>
      </c>
    </row>
    <row r="55" spans="1:5" ht="12.75">
      <c r="A55" s="25"/>
      <c r="B55" s="25"/>
      <c r="C55" s="25" t="s">
        <v>83</v>
      </c>
      <c r="E55" s="5">
        <v>413470</v>
      </c>
    </row>
    <row r="56" spans="1:5" ht="12.75">
      <c r="A56" s="25"/>
      <c r="B56" s="25"/>
      <c r="C56" s="25" t="s">
        <v>84</v>
      </c>
      <c r="E56" s="5">
        <v>30646</v>
      </c>
    </row>
    <row r="57" spans="1:6" ht="12.75">
      <c r="A57" s="25"/>
      <c r="B57" s="25"/>
      <c r="C57" s="25" t="s">
        <v>94</v>
      </c>
      <c r="E57" s="5">
        <v>108215</v>
      </c>
      <c r="F57" s="3">
        <f>SUM($E$54:$E$57)</f>
        <v>1564074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95</v>
      </c>
      <c r="B59" s="25"/>
      <c r="C59" s="25"/>
      <c r="E59" s="1"/>
      <c r="F59" s="1"/>
    </row>
    <row r="60" spans="1:6" ht="12.75">
      <c r="A60" s="25"/>
      <c r="B60" s="25"/>
      <c r="C60" s="25" t="s">
        <v>13</v>
      </c>
      <c r="F60" s="3">
        <v>5400</v>
      </c>
    </row>
    <row r="61" spans="1:6" ht="12.75">
      <c r="A61" s="25"/>
      <c r="B61" s="25"/>
      <c r="C61" s="25" t="s">
        <v>14</v>
      </c>
      <c r="F61" s="3">
        <f>$F$36</f>
        <v>4459</v>
      </c>
    </row>
    <row r="62" spans="1:6" ht="12.75">
      <c r="A62" s="25"/>
      <c r="B62" s="25"/>
      <c r="C62" s="25" t="s">
        <v>139</v>
      </c>
      <c r="F62" s="3">
        <v>0</v>
      </c>
    </row>
    <row r="63" spans="1:6" ht="12.75">
      <c r="A63" s="25"/>
      <c r="B63" s="25"/>
      <c r="C63" s="25" t="s">
        <v>15</v>
      </c>
      <c r="E63" s="5">
        <v>0</v>
      </c>
      <c r="F63" s="1"/>
    </row>
    <row r="64" spans="1:6" ht="13.5" thickBot="1">
      <c r="A64" s="25"/>
      <c r="B64" s="25"/>
      <c r="C64" s="25" t="s">
        <v>96</v>
      </c>
      <c r="E64" s="5">
        <v>2859</v>
      </c>
      <c r="F64" s="55">
        <f>$E$64+$E$63</f>
        <v>2859</v>
      </c>
    </row>
    <row r="65" spans="1:6" ht="13.5" thickBot="1">
      <c r="A65" s="25"/>
      <c r="B65" s="25"/>
      <c r="C65" s="25" t="s">
        <v>16</v>
      </c>
      <c r="F65" s="55">
        <f>$F$60+$F$61+$F$62-$F$64</f>
        <v>7000</v>
      </c>
    </row>
    <row r="66" spans="1:6" ht="12.75">
      <c r="A66" s="25"/>
      <c r="B66" s="25"/>
      <c r="C66" s="25"/>
      <c r="F66" s="1"/>
    </row>
    <row r="67" spans="1:6" ht="12.75">
      <c r="A67" s="48" t="s">
        <v>97</v>
      </c>
      <c r="B67" s="25"/>
      <c r="C67" s="25"/>
      <c r="F67" s="1"/>
    </row>
    <row r="68" spans="1:6" ht="12.75">
      <c r="A68" s="25"/>
      <c r="B68" s="25"/>
      <c r="C68" s="25" t="s">
        <v>13</v>
      </c>
      <c r="E68" s="26"/>
      <c r="F68" s="3">
        <v>48261</v>
      </c>
    </row>
    <row r="69" spans="1:6" ht="12.75">
      <c r="A69" s="25"/>
      <c r="B69" s="25"/>
      <c r="C69" s="25" t="s">
        <v>54</v>
      </c>
      <c r="E69" s="5">
        <v>828</v>
      </c>
      <c r="F69" s="58"/>
    </row>
    <row r="70" spans="1:6" ht="12.75">
      <c r="A70" s="25"/>
      <c r="B70" s="25"/>
      <c r="C70" s="25" t="s">
        <v>98</v>
      </c>
      <c r="E70" s="5">
        <v>603</v>
      </c>
      <c r="F70" s="3">
        <f>$E$69+$E$70</f>
        <v>1431</v>
      </c>
    </row>
    <row r="71" spans="1:6" ht="12.75">
      <c r="A71" s="25"/>
      <c r="B71" s="25"/>
      <c r="C71" s="25" t="s">
        <v>55</v>
      </c>
      <c r="E71" s="5">
        <v>906</v>
      </c>
      <c r="F71" s="60"/>
    </row>
    <row r="72" spans="1:6" ht="13.5" thickBot="1">
      <c r="A72" s="49"/>
      <c r="B72" s="49"/>
      <c r="C72" s="25" t="s">
        <v>99</v>
      </c>
      <c r="E72" s="5">
        <v>0</v>
      </c>
      <c r="F72" s="55">
        <f>$E$72+$E$71</f>
        <v>906</v>
      </c>
    </row>
    <row r="73" spans="1:6" ht="13.5" thickBot="1">
      <c r="A73" s="49"/>
      <c r="B73" s="49"/>
      <c r="C73" s="25" t="s">
        <v>16</v>
      </c>
      <c r="E73" s="26"/>
      <c r="F73" s="55">
        <f>$F$68+$F$70-$F$72</f>
        <v>48786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100</v>
      </c>
      <c r="B75" s="49"/>
      <c r="C75" s="25"/>
      <c r="E75" s="60"/>
      <c r="F75" s="61"/>
    </row>
    <row r="76" spans="1:7" ht="13.5" thickBot="1">
      <c r="A76" s="25"/>
      <c r="B76" s="25" t="s">
        <v>17</v>
      </c>
      <c r="C76" s="25" t="s">
        <v>101</v>
      </c>
      <c r="D76" s="26"/>
      <c r="E76" s="55">
        <f>$E$16-$E$17</f>
        <v>51840</v>
      </c>
      <c r="F76" s="55">
        <f>$F$18</f>
        <v>46908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12.75">
      <c r="A78" s="25"/>
      <c r="B78" s="25" t="s">
        <v>20</v>
      </c>
      <c r="C78" s="25" t="s">
        <v>102</v>
      </c>
      <c r="D78" s="26"/>
      <c r="E78" s="58" t="s">
        <v>18</v>
      </c>
      <c r="F78" s="58" t="s">
        <v>19</v>
      </c>
      <c r="G78" s="26"/>
    </row>
    <row r="79" spans="1:7" ht="12.75">
      <c r="A79" s="25"/>
      <c r="B79" s="25"/>
      <c r="C79" s="25" t="s">
        <v>21</v>
      </c>
      <c r="D79" s="26"/>
      <c r="E79" s="3">
        <v>1437696</v>
      </c>
      <c r="F79" s="3">
        <v>1448591</v>
      </c>
      <c r="G79" s="26"/>
    </row>
    <row r="80" spans="1:7" ht="12.75">
      <c r="A80" s="25"/>
      <c r="B80" s="25"/>
      <c r="C80" s="25" t="s">
        <v>23</v>
      </c>
      <c r="D80" s="26"/>
      <c r="E80" s="3">
        <v>1576626</v>
      </c>
      <c r="F80" s="3">
        <v>1555650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22</v>
      </c>
      <c r="C82" s="25" t="s">
        <v>103</v>
      </c>
      <c r="D82" s="59"/>
      <c r="E82" s="26"/>
      <c r="F82" s="59"/>
      <c r="G82" s="26"/>
    </row>
    <row r="83" spans="1:7" ht="13.5" thickBot="1">
      <c r="A83" s="25"/>
      <c r="B83" s="25"/>
      <c r="C83" s="25" t="s">
        <v>104</v>
      </c>
      <c r="D83" s="59"/>
      <c r="E83" s="61"/>
      <c r="F83" s="55">
        <f>$F$79-$E$79</f>
        <v>10895</v>
      </c>
      <c r="G83" s="61"/>
    </row>
    <row r="84" spans="1:7" ht="13.5" thickBot="1">
      <c r="A84" s="25"/>
      <c r="B84" s="25"/>
      <c r="C84" s="25" t="s">
        <v>105</v>
      </c>
      <c r="D84" s="26"/>
      <c r="E84" s="26"/>
      <c r="F84" s="55">
        <f>$F$80-$E$80</f>
        <v>-20976</v>
      </c>
      <c r="G84" s="26"/>
    </row>
    <row r="85" spans="1:7" ht="13.5" thickBot="1">
      <c r="A85" s="25"/>
      <c r="B85" s="25"/>
      <c r="C85" s="25" t="s">
        <v>106</v>
      </c>
      <c r="D85" s="59"/>
      <c r="E85" s="26"/>
      <c r="F85" s="55">
        <f>$F$84-$F$83</f>
        <v>-31871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24</v>
      </c>
      <c r="C87" s="25" t="s">
        <v>107</v>
      </c>
      <c r="D87" s="59"/>
      <c r="E87" s="57">
        <f>IF($E$79+$E$80&gt;0,E$76/(($E$79+$E$80)/2),0)</f>
        <v>0.03439579447716601</v>
      </c>
      <c r="F87" s="57">
        <f>IF($E$79+$E$80&gt;0,F$76/(($E$79+$E$80)/2),0)</f>
        <v>0.031123416808157854</v>
      </c>
      <c r="G87" s="61"/>
    </row>
    <row r="88" spans="1:7" ht="12.75">
      <c r="A88" s="25"/>
      <c r="B88" s="25" t="s">
        <v>25</v>
      </c>
      <c r="C88" s="25" t="s">
        <v>108</v>
      </c>
      <c r="D88" s="26"/>
      <c r="E88" s="57">
        <f>IF($F$79+$F$80&gt;0,(E$76+($F$80-$E$80)-($F$79-$E$79))/(($F$79+$F$80)/2),0)</f>
        <v>0.013293873560742964</v>
      </c>
      <c r="F88" s="57">
        <f>IF($F$79+$F$80&gt;0,(F$76+($F$80-$E$80)-($F$79-$E$79))/(($F$79+$F$80)/2),0)</f>
        <v>0.010010515135104007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26</v>
      </c>
      <c r="C90" s="25" t="s">
        <v>109</v>
      </c>
      <c r="D90" s="26"/>
      <c r="E90" s="59"/>
      <c r="F90" s="26"/>
      <c r="G90" s="62"/>
    </row>
    <row r="91" spans="1:7" ht="12.75">
      <c r="A91" s="25"/>
      <c r="B91" s="25"/>
      <c r="C91" s="25" t="s">
        <v>110</v>
      </c>
      <c r="D91" s="26"/>
      <c r="E91" s="68"/>
      <c r="F91" s="67">
        <v>0.05835</v>
      </c>
      <c r="G91" s="59"/>
    </row>
    <row r="92" spans="1:7" ht="12.75">
      <c r="A92" s="25"/>
      <c r="B92" s="25"/>
      <c r="C92" s="25" t="s">
        <v>111</v>
      </c>
      <c r="D92" s="26"/>
      <c r="E92" s="68"/>
      <c r="F92" s="67">
        <v>0.05835</v>
      </c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35</v>
      </c>
      <c r="C94" s="25" t="s">
        <v>37</v>
      </c>
      <c r="D94" s="26"/>
      <c r="E94" s="64"/>
      <c r="F94" s="26"/>
      <c r="G94" s="65"/>
    </row>
    <row r="95" spans="1:7" ht="12.75">
      <c r="A95" s="25"/>
      <c r="B95" s="25"/>
      <c r="C95" s="25" t="s">
        <v>112</v>
      </c>
      <c r="D95" s="26"/>
      <c r="E95" s="26"/>
      <c r="F95" s="8">
        <v>18817</v>
      </c>
      <c r="G95" s="26"/>
    </row>
    <row r="96" spans="1:7" ht="12.75">
      <c r="A96" s="25"/>
      <c r="B96" s="25"/>
      <c r="C96" s="25" t="s">
        <v>113</v>
      </c>
      <c r="D96" s="26"/>
      <c r="E96" s="26"/>
      <c r="F96" s="8">
        <v>2156</v>
      </c>
      <c r="G96" s="26"/>
    </row>
    <row r="97" spans="1:7" ht="13.5" thickBot="1">
      <c r="A97" s="25"/>
      <c r="B97" s="25"/>
      <c r="C97" s="25" t="s">
        <v>114</v>
      </c>
      <c r="D97" s="26"/>
      <c r="E97" s="61"/>
      <c r="F97" s="69">
        <v>2589</v>
      </c>
      <c r="G97" s="26"/>
    </row>
    <row r="98" spans="1:7" ht="13.5" thickBot="1">
      <c r="A98" s="25"/>
      <c r="B98" s="25"/>
      <c r="C98" s="25" t="s">
        <v>115</v>
      </c>
      <c r="D98" s="26"/>
      <c r="E98" s="61"/>
      <c r="F98" s="70">
        <f>SUM($F$95:$F$97)</f>
        <v>23562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36</v>
      </c>
      <c r="C100" s="25" t="s">
        <v>43</v>
      </c>
    </row>
    <row r="101" spans="1:6" ht="12.75">
      <c r="A101" s="25"/>
      <c r="B101" s="25"/>
      <c r="C101" s="25" t="s">
        <v>116</v>
      </c>
      <c r="F101" s="3">
        <f>$E$18</f>
        <v>4932</v>
      </c>
    </row>
    <row r="102" spans="1:6" ht="12.75">
      <c r="A102" s="25"/>
      <c r="B102" s="25"/>
      <c r="C102" s="25" t="s">
        <v>117</v>
      </c>
      <c r="F102" s="57">
        <f>IF($F$101&gt;0,$F$101/(($F$79+$F$80)/2),0)</f>
        <v>0.003283358425638955</v>
      </c>
    </row>
    <row r="103" spans="1:5" ht="12.75">
      <c r="A103" s="25"/>
      <c r="B103" s="25"/>
      <c r="C103" s="25" t="s">
        <v>9</v>
      </c>
      <c r="E103" s="5">
        <v>13310</v>
      </c>
    </row>
    <row r="104" spans="1:6" ht="13.5" thickBot="1">
      <c r="A104" s="25"/>
      <c r="B104" s="25"/>
      <c r="C104" s="25" t="s">
        <v>118</v>
      </c>
      <c r="E104" s="5">
        <v>313</v>
      </c>
      <c r="F104" s="55">
        <f>$E$103-$E$104</f>
        <v>12997</v>
      </c>
    </row>
    <row r="105" spans="1:6" ht="12.75">
      <c r="A105" s="25"/>
      <c r="B105" s="25"/>
      <c r="C105" s="25" t="s">
        <v>119</v>
      </c>
      <c r="F105" s="3">
        <f>IF(F$98&gt;0,(1000*F$104)/F$98,0)</f>
        <v>551.6085221967575</v>
      </c>
    </row>
    <row r="106" spans="1:6" ht="12.75">
      <c r="A106" s="25"/>
      <c r="B106" s="25"/>
      <c r="C106" s="25" t="s">
        <v>120</v>
      </c>
      <c r="F106" s="3">
        <f>IF($F$98&gt;0,$E$14*1000/$F$98,0)</f>
        <v>423.7755708343944</v>
      </c>
    </row>
    <row r="107" spans="1:3" ht="12.75">
      <c r="A107" s="25"/>
      <c r="B107" s="25"/>
      <c r="C107" s="25"/>
    </row>
    <row r="108" spans="1:3" ht="12.75">
      <c r="A108" s="48" t="s">
        <v>144</v>
      </c>
      <c r="B108" s="25"/>
      <c r="C108" s="25"/>
    </row>
    <row r="109" spans="1:7" ht="12.75">
      <c r="A109" s="25"/>
      <c r="B109" s="50" t="s">
        <v>56</v>
      </c>
      <c r="C109" s="25"/>
      <c r="D109" s="108" t="s">
        <v>142</v>
      </c>
      <c r="E109" s="108"/>
      <c r="F109" s="108" t="s">
        <v>143</v>
      </c>
      <c r="G109" s="108"/>
    </row>
    <row r="110" spans="1:6" ht="12.75">
      <c r="A110" s="25"/>
      <c r="B110" s="25"/>
      <c r="C110" s="25" t="s">
        <v>121</v>
      </c>
      <c r="D110" s="89">
        <v>38033</v>
      </c>
      <c r="F110" s="89">
        <v>8873</v>
      </c>
    </row>
    <row r="111" spans="1:6" ht="12.75">
      <c r="A111" s="25"/>
      <c r="B111" s="25"/>
      <c r="C111" s="25" t="s">
        <v>122</v>
      </c>
      <c r="D111" s="5">
        <v>25962</v>
      </c>
      <c r="F111" s="5">
        <v>5361</v>
      </c>
    </row>
    <row r="112" spans="1:7" ht="12.75">
      <c r="A112" s="25"/>
      <c r="B112" s="25"/>
      <c r="C112" s="25" t="s">
        <v>123</v>
      </c>
      <c r="D112" s="5">
        <v>9985</v>
      </c>
      <c r="E112" s="3">
        <f>SUM($D$110:$D$112)</f>
        <v>73980</v>
      </c>
      <c r="F112" s="5">
        <v>0</v>
      </c>
      <c r="G112" s="3">
        <f>SUM($F$110:$F$112)</f>
        <v>14234</v>
      </c>
    </row>
    <row r="113" spans="1:3" ht="12.75">
      <c r="A113" s="25"/>
      <c r="B113" s="50" t="s">
        <v>57</v>
      </c>
      <c r="C113" s="25"/>
    </row>
    <row r="114" spans="1:6" ht="12.75">
      <c r="A114" s="25"/>
      <c r="B114" s="25"/>
      <c r="C114" s="25" t="s">
        <v>124</v>
      </c>
      <c r="D114" s="5">
        <v>33542</v>
      </c>
      <c r="F114" s="5">
        <v>7169</v>
      </c>
    </row>
    <row r="115" spans="1:6" ht="12.75">
      <c r="A115" s="25"/>
      <c r="B115" s="25"/>
      <c r="C115" s="25" t="s">
        <v>125</v>
      </c>
      <c r="D115" s="5">
        <v>16353</v>
      </c>
      <c r="F115" s="5">
        <v>-2608</v>
      </c>
    </row>
    <row r="116" spans="1:7" ht="12.75">
      <c r="A116" s="25"/>
      <c r="B116" s="25"/>
      <c r="C116" s="25" t="s">
        <v>126</v>
      </c>
      <c r="D116" s="5">
        <v>11764</v>
      </c>
      <c r="E116" s="3">
        <f>SUM($D$114:$D$116)</f>
        <v>61659</v>
      </c>
      <c r="F116" s="5">
        <v>0</v>
      </c>
      <c r="G116" s="3">
        <f>SUM($F$114:$F$116)</f>
        <v>4561</v>
      </c>
    </row>
    <row r="117" spans="1:7" ht="14.25">
      <c r="A117" s="25"/>
      <c r="B117" s="51" t="s">
        <v>136</v>
      </c>
      <c r="C117" s="25"/>
      <c r="E117" s="3">
        <f>$E$112-$E$116</f>
        <v>12321</v>
      </c>
      <c r="G117" s="3">
        <f>$G$112-$G$116</f>
        <v>9673</v>
      </c>
    </row>
    <row r="118" spans="1:3" ht="12.75">
      <c r="A118" s="25"/>
      <c r="B118" s="50" t="s">
        <v>127</v>
      </c>
      <c r="C118" s="25"/>
    </row>
    <row r="119" spans="1:6" ht="12.75">
      <c r="A119" s="25"/>
      <c r="B119" s="25"/>
      <c r="C119" s="25" t="s">
        <v>128</v>
      </c>
      <c r="D119" s="5">
        <v>0</v>
      </c>
      <c r="F119" s="5">
        <v>2000</v>
      </c>
    </row>
    <row r="120" spans="1:6" ht="12.75">
      <c r="A120" s="25"/>
      <c r="B120" s="25"/>
      <c r="C120" s="25" t="s">
        <v>129</v>
      </c>
      <c r="D120" s="5">
        <v>0</v>
      </c>
      <c r="F120" s="5">
        <v>0</v>
      </c>
    </row>
    <row r="121" spans="1:6" ht="12.75">
      <c r="A121" s="25"/>
      <c r="B121" s="25"/>
      <c r="C121" s="25" t="s">
        <v>130</v>
      </c>
      <c r="D121" s="5">
        <v>0</v>
      </c>
      <c r="F121" s="5">
        <v>0</v>
      </c>
    </row>
    <row r="122" spans="1:6" ht="12.75">
      <c r="A122" s="25"/>
      <c r="B122" s="25"/>
      <c r="C122" s="25" t="s">
        <v>131</v>
      </c>
      <c r="D122" s="5">
        <v>0</v>
      </c>
      <c r="F122" s="5">
        <v>3000</v>
      </c>
    </row>
    <row r="123" spans="1:6" ht="12.75">
      <c r="A123" s="25"/>
      <c r="B123" s="25"/>
      <c r="C123" s="25" t="s">
        <v>132</v>
      </c>
      <c r="D123" s="5">
        <v>0</v>
      </c>
      <c r="F123" s="5">
        <v>0</v>
      </c>
    </row>
    <row r="124" spans="1:6" ht="12.75">
      <c r="A124" s="25"/>
      <c r="B124" s="25"/>
      <c r="C124" s="25" t="s">
        <v>133</v>
      </c>
      <c r="D124" s="5">
        <v>3355</v>
      </c>
      <c r="F124" s="5">
        <v>4645</v>
      </c>
    </row>
    <row r="125" spans="1:6" ht="12.75">
      <c r="A125" s="25"/>
      <c r="B125" s="25"/>
      <c r="C125" s="25" t="s">
        <v>134</v>
      </c>
      <c r="D125" s="5">
        <v>0</v>
      </c>
      <c r="F125" s="5">
        <v>0</v>
      </c>
    </row>
    <row r="126" spans="1:7" ht="12.75">
      <c r="A126" s="25"/>
      <c r="B126" s="25"/>
      <c r="C126" s="25" t="s">
        <v>135</v>
      </c>
      <c r="D126" s="5">
        <v>0</v>
      </c>
      <c r="E126" s="3">
        <f>SUM($D$119:$D$126)</f>
        <v>3355</v>
      </c>
      <c r="F126" s="5">
        <v>0</v>
      </c>
      <c r="G126" s="3">
        <f>SUM($F$119:$F$126)</f>
        <v>9645</v>
      </c>
    </row>
    <row r="127" spans="1:5" ht="12.75">
      <c r="A127" s="25"/>
      <c r="B127" s="25" t="s">
        <v>58</v>
      </c>
      <c r="C127" s="25"/>
      <c r="E127" s="3">
        <v>0</v>
      </c>
    </row>
    <row r="128" spans="1:7" ht="13.5" thickBot="1">
      <c r="A128" s="25"/>
      <c r="B128" s="25" t="s">
        <v>59</v>
      </c>
      <c r="C128" s="25"/>
      <c r="E128" s="54">
        <v>3048</v>
      </c>
      <c r="G128" s="55">
        <v>1410.9148100000002</v>
      </c>
    </row>
    <row r="129" spans="1:7" ht="13.5" thickBot="1">
      <c r="A129" s="25"/>
      <c r="B129" s="25" t="s">
        <v>12</v>
      </c>
      <c r="C129" s="25"/>
      <c r="E129" s="55">
        <f>$E$117-SUM($E$126:$E$128)</f>
        <v>5918</v>
      </c>
      <c r="G129" s="55">
        <f>$G$117-$G$126-$G$128</f>
        <v>-1382.9148100000002</v>
      </c>
    </row>
    <row r="130" spans="1:7" ht="12.75">
      <c r="A130" s="25"/>
      <c r="B130" s="25" t="s">
        <v>64</v>
      </c>
      <c r="C130" s="25"/>
      <c r="E130" s="57">
        <f>IF(E$112&gt;0,MIN(MAX((E$116+E$126+E$127+E$128)/E$112,0.9),1),0)</f>
        <v>0.9200054068667207</v>
      </c>
      <c r="G130" s="57">
        <f>IF(G$112&gt;0,MIN((G$116+G$126+G$127+G$128)/G$112,1),0)</f>
        <v>1</v>
      </c>
    </row>
    <row r="131" spans="1:3" ht="12.75">
      <c r="A131" s="25"/>
      <c r="C131" s="25"/>
    </row>
    <row r="132" spans="1:6" ht="12.75">
      <c r="A132" s="25"/>
      <c r="B132" s="50" t="s">
        <v>60</v>
      </c>
      <c r="C132" s="25"/>
      <c r="F132" t="s">
        <v>141</v>
      </c>
    </row>
    <row r="133" spans="1:6" ht="12.75">
      <c r="A133" s="25"/>
      <c r="B133" s="25"/>
      <c r="C133" s="25" t="s">
        <v>61</v>
      </c>
      <c r="E133" s="3">
        <f>$E$129</f>
        <v>5918</v>
      </c>
      <c r="F133" s="57">
        <f>IF($E$112&gt;0,$E$133/$E$112,0)</f>
        <v>0.07999459313327927</v>
      </c>
    </row>
    <row r="134" spans="1:6" ht="12.75">
      <c r="A134" s="25"/>
      <c r="B134" s="25"/>
      <c r="C134" s="25" t="s">
        <v>62</v>
      </c>
      <c r="E134" s="3">
        <f>$G$129</f>
        <v>-1382.9148100000002</v>
      </c>
      <c r="F134" s="57">
        <f>IF($G$112&gt;0,$E$134/$G$112,0)</f>
        <v>-0.09715574048053957</v>
      </c>
    </row>
    <row r="135" spans="2:5" ht="12.75">
      <c r="B135" s="25"/>
      <c r="C135" s="25" t="s">
        <v>87</v>
      </c>
      <c r="E135" s="3">
        <f>SUM(E133:$E$134)</f>
        <v>4535.08519</v>
      </c>
    </row>
    <row r="137" spans="2:3" ht="12.75">
      <c r="B137" s="53" t="s">
        <v>137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43" right="0.16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indexed="1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47" t="s">
        <v>69</v>
      </c>
      <c r="B1" s="47"/>
      <c r="C1" s="25"/>
    </row>
    <row r="2" spans="1:3" ht="12.75">
      <c r="A2" s="25" t="s">
        <v>0</v>
      </c>
      <c r="B2" s="25"/>
      <c r="C2" s="25"/>
    </row>
    <row r="3" spans="1:3" ht="12.75">
      <c r="A3" s="48" t="s">
        <v>39</v>
      </c>
      <c r="B3" s="48"/>
      <c r="C3" s="25"/>
    </row>
    <row r="4" spans="1:3" ht="12.75">
      <c r="A4" s="25"/>
      <c r="B4" s="25"/>
      <c r="C4" s="25"/>
    </row>
    <row r="5" spans="1:3" ht="12.75">
      <c r="A5" s="25" t="s">
        <v>38</v>
      </c>
      <c r="B5" s="25"/>
      <c r="C5" s="25"/>
    </row>
    <row r="6" spans="1:3" ht="12.75">
      <c r="A6" s="25"/>
      <c r="B6" s="25"/>
      <c r="C6" s="25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</v>
      </c>
      <c r="F8" s="2" t="s">
        <v>2</v>
      </c>
      <c r="G8" s="2"/>
    </row>
    <row r="9" spans="1:3" ht="12.75">
      <c r="A9" s="48" t="s">
        <v>70</v>
      </c>
      <c r="B9" s="48"/>
      <c r="C9" s="25"/>
    </row>
    <row r="10" spans="1:6" ht="12.75">
      <c r="A10" s="48" t="s">
        <v>71</v>
      </c>
      <c r="B10" s="25"/>
      <c r="C10" s="25"/>
      <c r="E10" s="1"/>
      <c r="F10" s="1"/>
    </row>
    <row r="11" spans="1:3" ht="12.75">
      <c r="A11" s="25"/>
      <c r="B11" s="50" t="s">
        <v>75</v>
      </c>
      <c r="C11" s="25"/>
    </row>
    <row r="12" spans="1:6" ht="12.75">
      <c r="A12" s="25"/>
      <c r="B12" s="25"/>
      <c r="C12" s="25" t="s">
        <v>3</v>
      </c>
      <c r="E12" s="5">
        <f>$F$14-E$13-E$14</f>
        <v>379351.149</v>
      </c>
      <c r="F12" s="1"/>
    </row>
    <row r="13" spans="1:6" ht="12.75">
      <c r="A13" s="25"/>
      <c r="B13" s="25"/>
      <c r="C13" s="25" t="s">
        <v>4</v>
      </c>
      <c r="E13" s="5">
        <v>63540.851</v>
      </c>
      <c r="F13" s="1"/>
    </row>
    <row r="14" spans="1:6" ht="12.75">
      <c r="A14" s="25"/>
      <c r="B14" s="25"/>
      <c r="C14" s="25" t="s">
        <v>5</v>
      </c>
      <c r="E14" s="5">
        <v>22923</v>
      </c>
      <c r="F14" s="3">
        <v>465815</v>
      </c>
    </row>
    <row r="15" spans="1:6" ht="12.75">
      <c r="A15" s="25"/>
      <c r="B15" s="50" t="s">
        <v>72</v>
      </c>
      <c r="C15" s="25"/>
      <c r="E15" s="1"/>
      <c r="F15" s="1"/>
    </row>
    <row r="16" spans="1:6" ht="12.75">
      <c r="A16" s="25"/>
      <c r="B16" s="25"/>
      <c r="C16" s="25" t="s">
        <v>72</v>
      </c>
      <c r="E16" s="5">
        <v>73305</v>
      </c>
      <c r="F16" s="1"/>
    </row>
    <row r="17" spans="1:6" ht="12.75">
      <c r="A17" s="25"/>
      <c r="B17" s="25"/>
      <c r="C17" s="25" t="s">
        <v>73</v>
      </c>
      <c r="E17" s="5">
        <v>0</v>
      </c>
      <c r="F17" s="1"/>
    </row>
    <row r="18" spans="1:6" ht="12.75">
      <c r="A18" s="25"/>
      <c r="B18" s="25"/>
      <c r="C18" s="25" t="s">
        <v>74</v>
      </c>
      <c r="E18" s="5">
        <v>6573.071</v>
      </c>
      <c r="F18" s="3">
        <f>$E$16-$E$17-$E$18</f>
        <v>66731.929</v>
      </c>
    </row>
    <row r="19" spans="1:6" ht="12.75">
      <c r="A19" s="25"/>
      <c r="B19" s="25" t="s">
        <v>76</v>
      </c>
      <c r="C19" s="25"/>
      <c r="F19" s="3">
        <v>1995</v>
      </c>
    </row>
    <row r="20" spans="1:6" ht="13.5" thickBot="1">
      <c r="A20" s="25"/>
      <c r="B20" s="25" t="s">
        <v>77</v>
      </c>
      <c r="C20" s="25"/>
      <c r="E20" s="6"/>
      <c r="F20" s="54">
        <v>-2953</v>
      </c>
    </row>
    <row r="21" spans="1:6" ht="13.5" thickBot="1">
      <c r="A21" s="25"/>
      <c r="B21" s="47" t="s">
        <v>78</v>
      </c>
      <c r="C21" s="25"/>
      <c r="E21" s="6"/>
      <c r="F21" s="55">
        <f>$F$14+$F$18+$F$19+$F$20</f>
        <v>531588.929</v>
      </c>
    </row>
    <row r="22" spans="1:5" ht="12.75">
      <c r="A22" s="25"/>
      <c r="B22" s="25"/>
      <c r="C22" s="25"/>
      <c r="E22" s="6"/>
    </row>
    <row r="23" spans="1:6" ht="12.75">
      <c r="A23" s="48" t="s">
        <v>79</v>
      </c>
      <c r="B23" s="25"/>
      <c r="C23" s="25"/>
      <c r="E23" s="6"/>
      <c r="F23" s="1"/>
    </row>
    <row r="24" spans="1:6" ht="12.75">
      <c r="A24" s="25"/>
      <c r="B24" s="50" t="s">
        <v>6</v>
      </c>
      <c r="C24" s="25"/>
      <c r="E24" s="6"/>
      <c r="F24" s="1"/>
    </row>
    <row r="25" spans="1:6" ht="12.75">
      <c r="A25" s="25"/>
      <c r="B25" s="25"/>
      <c r="C25" s="25" t="s">
        <v>7</v>
      </c>
      <c r="E25" s="5">
        <v>85804</v>
      </c>
      <c r="F25" s="1"/>
    </row>
    <row r="26" spans="1:6" ht="12.75">
      <c r="A26" s="25"/>
      <c r="B26" s="25"/>
      <c r="C26" s="25" t="s">
        <v>8</v>
      </c>
      <c r="E26" s="5">
        <v>238886</v>
      </c>
      <c r="F26" s="1"/>
    </row>
    <row r="27" spans="1:6" ht="12.75">
      <c r="A27" s="25"/>
      <c r="B27" s="25"/>
      <c r="C27" s="25" t="s">
        <v>80</v>
      </c>
      <c r="E27" s="5">
        <v>22858</v>
      </c>
      <c r="F27" s="3">
        <f>SUM($E$25:$E$27)</f>
        <v>347548</v>
      </c>
    </row>
    <row r="28" spans="1:5" ht="12.75">
      <c r="A28" s="25"/>
      <c r="B28" s="50" t="s">
        <v>81</v>
      </c>
      <c r="C28" s="25"/>
      <c r="E28" s="1"/>
    </row>
    <row r="29" spans="1:6" ht="12.75">
      <c r="A29" s="25"/>
      <c r="B29" s="25"/>
      <c r="C29" s="25" t="s">
        <v>82</v>
      </c>
      <c r="E29" s="5">
        <v>89936.80187000008</v>
      </c>
      <c r="F29" s="1"/>
    </row>
    <row r="30" spans="1:6" ht="12.75">
      <c r="A30" s="25"/>
      <c r="B30" s="25"/>
      <c r="C30" s="25" t="s">
        <v>83</v>
      </c>
      <c r="E30" s="5">
        <v>41284.36300000001</v>
      </c>
      <c r="F30" s="1"/>
    </row>
    <row r="31" spans="1:6" ht="12.75">
      <c r="A31" s="25"/>
      <c r="B31" s="25"/>
      <c r="C31" s="25" t="s">
        <v>84</v>
      </c>
      <c r="D31" s="1"/>
      <c r="E31" s="5">
        <v>-3316.917870000001</v>
      </c>
      <c r="F31" s="1"/>
    </row>
    <row r="32" spans="1:6" ht="12.75">
      <c r="A32" s="25"/>
      <c r="B32" s="25"/>
      <c r="C32" s="25" t="s">
        <v>85</v>
      </c>
      <c r="D32" s="1"/>
      <c r="E32" s="5">
        <f>$F$32-SUM($E$29:$E$31)</f>
        <v>6221.75299999991</v>
      </c>
      <c r="F32" s="3">
        <v>134126</v>
      </c>
    </row>
    <row r="33" spans="1:6" ht="12.75">
      <c r="A33" s="25"/>
      <c r="B33" s="50" t="s">
        <v>9</v>
      </c>
      <c r="C33" s="25"/>
      <c r="D33" s="1"/>
      <c r="E33" s="1"/>
      <c r="F33" s="3">
        <v>21835.387</v>
      </c>
    </row>
    <row r="34" spans="1:6" ht="12.75">
      <c r="A34" s="25"/>
      <c r="B34" s="25" t="s">
        <v>86</v>
      </c>
      <c r="C34" s="25"/>
      <c r="E34" s="1"/>
      <c r="F34" s="3">
        <v>5406.501</v>
      </c>
    </row>
    <row r="35" spans="1:6" ht="12.75">
      <c r="A35" s="25"/>
      <c r="B35" s="25" t="s">
        <v>10</v>
      </c>
      <c r="C35" s="25"/>
      <c r="E35" s="1"/>
      <c r="F35" s="3">
        <v>0</v>
      </c>
    </row>
    <row r="36" spans="1:6" ht="12.75">
      <c r="A36" s="25"/>
      <c r="B36" s="25" t="s">
        <v>11</v>
      </c>
      <c r="C36" s="25"/>
      <c r="F36" s="3">
        <v>10000</v>
      </c>
    </row>
    <row r="37" spans="1:6" ht="13.5" thickBot="1">
      <c r="A37" s="25"/>
      <c r="B37" s="25" t="s">
        <v>87</v>
      </c>
      <c r="C37" s="25"/>
      <c r="F37" s="54">
        <f>$F$38-($F$27+SUM($F$32:$F$36))</f>
        <v>12673.041000000027</v>
      </c>
    </row>
    <row r="38" spans="1:6" ht="13.5" thickBot="1">
      <c r="A38" s="25"/>
      <c r="B38" s="25" t="s">
        <v>88</v>
      </c>
      <c r="C38" s="25"/>
      <c r="F38" s="55">
        <f>$F$14+$F$18+$F$19+$F$20</f>
        <v>531588.929</v>
      </c>
    </row>
    <row r="39" spans="1:3" ht="12.75">
      <c r="A39" s="25"/>
      <c r="B39" s="25"/>
      <c r="C39" s="25"/>
    </row>
    <row r="40" spans="1:6" ht="12.75">
      <c r="A40" s="48" t="s">
        <v>89</v>
      </c>
      <c r="B40" s="25"/>
      <c r="C40" s="25"/>
      <c r="E40" s="1"/>
      <c r="F40" s="1"/>
    </row>
    <row r="41" spans="1:6" ht="12.75">
      <c r="A41" s="48" t="s">
        <v>90</v>
      </c>
      <c r="B41" s="25"/>
      <c r="C41" s="25"/>
      <c r="E41" s="1"/>
      <c r="F41" s="1"/>
    </row>
    <row r="42" spans="1:6" ht="12.75">
      <c r="A42" s="25"/>
      <c r="B42" s="50" t="s">
        <v>91</v>
      </c>
      <c r="C42" s="25"/>
      <c r="F42" s="1"/>
    </row>
    <row r="43" spans="1:7" ht="12.75">
      <c r="A43" s="25"/>
      <c r="B43" s="25"/>
      <c r="C43" s="25" t="s">
        <v>27</v>
      </c>
      <c r="E43" s="5">
        <v>346317</v>
      </c>
      <c r="F43" s="56" t="s">
        <v>138</v>
      </c>
      <c r="G43" s="57">
        <f>IF(E43&gt;0,E43/$F$50,0)</f>
        <v>0.13307783054904185</v>
      </c>
    </row>
    <row r="44" spans="1:7" ht="12.75">
      <c r="A44" s="25"/>
      <c r="B44" s="25"/>
      <c r="C44" s="25" t="s">
        <v>28</v>
      </c>
      <c r="E44" s="5">
        <v>1389430</v>
      </c>
      <c r="F44" s="56" t="s">
        <v>138</v>
      </c>
      <c r="G44" s="57">
        <f aca="true" t="shared" si="0" ref="G44:G50">IF(E44&gt;0,E44/$F$50,0)</f>
        <v>0.533910637074574</v>
      </c>
    </row>
    <row r="45" spans="1:7" ht="12.75">
      <c r="A45" s="25"/>
      <c r="B45" s="25"/>
      <c r="C45" s="25" t="s">
        <v>29</v>
      </c>
      <c r="E45" s="5">
        <v>338483</v>
      </c>
      <c r="F45" s="56" t="s">
        <v>138</v>
      </c>
      <c r="G45" s="57">
        <f t="shared" si="0"/>
        <v>0.13006749110708204</v>
      </c>
    </row>
    <row r="46" spans="1:7" ht="12.75">
      <c r="A46" s="25"/>
      <c r="B46" s="25"/>
      <c r="C46" s="25" t="s">
        <v>30</v>
      </c>
      <c r="E46" s="5">
        <v>131556.335</v>
      </c>
      <c r="F46" s="56" t="s">
        <v>138</v>
      </c>
      <c r="G46" s="57">
        <f t="shared" si="0"/>
        <v>0.050552619873650395</v>
      </c>
    </row>
    <row r="47" spans="1:7" ht="12.75">
      <c r="A47" s="25"/>
      <c r="B47" s="25"/>
      <c r="C47" s="25" t="s">
        <v>31</v>
      </c>
      <c r="E47" s="5">
        <v>0</v>
      </c>
      <c r="F47" s="56" t="s">
        <v>138</v>
      </c>
      <c r="G47" s="57">
        <f t="shared" si="0"/>
        <v>0</v>
      </c>
    </row>
    <row r="48" spans="1:7" ht="12.75">
      <c r="A48" s="25"/>
      <c r="B48" s="25"/>
      <c r="C48" s="25" t="s">
        <v>32</v>
      </c>
      <c r="E48" s="5">
        <v>0</v>
      </c>
      <c r="F48" s="56" t="s">
        <v>138</v>
      </c>
      <c r="G48" s="57">
        <f t="shared" si="0"/>
        <v>0</v>
      </c>
    </row>
    <row r="49" spans="1:7" ht="12.75">
      <c r="A49" s="25"/>
      <c r="B49" s="25"/>
      <c r="C49" s="25" t="s">
        <v>33</v>
      </c>
      <c r="E49" s="5">
        <v>396578</v>
      </c>
      <c r="F49" s="56" t="s">
        <v>138</v>
      </c>
      <c r="G49" s="57">
        <f t="shared" si="0"/>
        <v>0.15239142139565173</v>
      </c>
    </row>
    <row r="50" spans="1:7" ht="13.5" thickBot="1">
      <c r="A50" s="25"/>
      <c r="B50" s="25"/>
      <c r="C50" s="25" t="s">
        <v>34</v>
      </c>
      <c r="E50" s="5">
        <v>0</v>
      </c>
      <c r="F50" s="55">
        <f>SUM($E$43:$E$50)</f>
        <v>2602364.335</v>
      </c>
      <c r="G50" s="57">
        <f t="shared" si="0"/>
        <v>0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92</v>
      </c>
      <c r="B52" s="25"/>
      <c r="C52" s="25"/>
      <c r="E52" s="6"/>
      <c r="F52" s="6"/>
    </row>
    <row r="53" spans="1:3" ht="12.75">
      <c r="A53" s="25"/>
      <c r="B53" s="50" t="s">
        <v>93</v>
      </c>
      <c r="C53" s="25"/>
    </row>
    <row r="54" spans="1:5" ht="12.75">
      <c r="A54" s="25"/>
      <c r="B54" s="25"/>
      <c r="C54" s="25" t="s">
        <v>82</v>
      </c>
      <c r="E54" s="5">
        <v>1936076.80187</v>
      </c>
    </row>
    <row r="55" spans="1:5" ht="12.75">
      <c r="A55" s="25"/>
      <c r="B55" s="25"/>
      <c r="C55" s="25" t="s">
        <v>83</v>
      </c>
      <c r="E55" s="5">
        <v>463219.091</v>
      </c>
    </row>
    <row r="56" spans="1:5" ht="12.75">
      <c r="A56" s="25"/>
      <c r="B56" s="25"/>
      <c r="C56" s="25" t="s">
        <v>84</v>
      </c>
      <c r="E56" s="5">
        <v>28559.08213</v>
      </c>
    </row>
    <row r="57" spans="1:6" ht="12.75">
      <c r="A57" s="25"/>
      <c r="B57" s="25"/>
      <c r="C57" s="25" t="s">
        <v>94</v>
      </c>
      <c r="E57" s="5">
        <v>130948</v>
      </c>
      <c r="F57" s="3">
        <f>SUM($E$54:$E$57)</f>
        <v>2558802.975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95</v>
      </c>
      <c r="B59" s="25"/>
      <c r="C59" s="25"/>
      <c r="E59" s="1"/>
      <c r="F59" s="1"/>
    </row>
    <row r="60" spans="1:6" ht="12.75">
      <c r="A60" s="25"/>
      <c r="B60" s="25"/>
      <c r="C60" s="25" t="s">
        <v>13</v>
      </c>
      <c r="F60" s="3">
        <v>976</v>
      </c>
    </row>
    <row r="61" spans="1:6" ht="12.75">
      <c r="A61" s="25"/>
      <c r="B61" s="25"/>
      <c r="C61" s="25" t="s">
        <v>14</v>
      </c>
      <c r="F61" s="3">
        <f>$F$36</f>
        <v>10000</v>
      </c>
    </row>
    <row r="62" spans="1:6" ht="12.75">
      <c r="A62" s="25"/>
      <c r="B62" s="25"/>
      <c r="C62" s="25" t="s">
        <v>139</v>
      </c>
      <c r="F62" s="3">
        <v>0</v>
      </c>
    </row>
    <row r="63" spans="1:6" ht="12.75">
      <c r="A63" s="25"/>
      <c r="B63" s="25"/>
      <c r="C63" s="25" t="s">
        <v>15</v>
      </c>
      <c r="E63" s="5">
        <v>0</v>
      </c>
      <c r="F63" s="1"/>
    </row>
    <row r="64" spans="1:6" ht="13.5" thickBot="1">
      <c r="A64" s="25"/>
      <c r="B64" s="25"/>
      <c r="C64" s="25" t="s">
        <v>96</v>
      </c>
      <c r="E64" s="5">
        <v>0</v>
      </c>
      <c r="F64" s="55">
        <f>$E$64+$E$63</f>
        <v>0</v>
      </c>
    </row>
    <row r="65" spans="1:6" ht="13.5" thickBot="1">
      <c r="A65" s="25"/>
      <c r="B65" s="25"/>
      <c r="C65" s="25" t="s">
        <v>16</v>
      </c>
      <c r="F65" s="55">
        <f>$F$60+$F$61+$F$62-$F$64</f>
        <v>10976</v>
      </c>
    </row>
    <row r="66" spans="1:6" ht="12.75">
      <c r="A66" s="25"/>
      <c r="B66" s="25"/>
      <c r="C66" s="25"/>
      <c r="F66" s="1"/>
    </row>
    <row r="67" spans="1:6" ht="12.75">
      <c r="A67" s="48" t="s">
        <v>97</v>
      </c>
      <c r="B67" s="25"/>
      <c r="C67" s="25"/>
      <c r="F67" s="1"/>
    </row>
    <row r="68" spans="1:6" ht="12.75">
      <c r="A68" s="25"/>
      <c r="B68" s="25"/>
      <c r="C68" s="25" t="s">
        <v>13</v>
      </c>
      <c r="E68" s="26"/>
      <c r="F68" s="3">
        <v>68000</v>
      </c>
    </row>
    <row r="69" spans="1:6" ht="12.75">
      <c r="A69" s="25"/>
      <c r="B69" s="25"/>
      <c r="C69" s="25" t="s">
        <v>54</v>
      </c>
      <c r="E69" s="5">
        <v>2306</v>
      </c>
      <c r="F69" s="58"/>
    </row>
    <row r="70" spans="1:6" ht="12.75">
      <c r="A70" s="25"/>
      <c r="B70" s="25"/>
      <c r="C70" s="25" t="s">
        <v>98</v>
      </c>
      <c r="E70" s="5">
        <v>827</v>
      </c>
      <c r="F70" s="3">
        <f>$E$69+$E$70</f>
        <v>3133</v>
      </c>
    </row>
    <row r="71" spans="1:6" ht="12.75">
      <c r="A71" s="25"/>
      <c r="B71" s="25"/>
      <c r="C71" s="25" t="s">
        <v>55</v>
      </c>
      <c r="E71" s="5">
        <v>672.000000000003</v>
      </c>
      <c r="F71" s="60"/>
    </row>
    <row r="72" spans="1:6" ht="13.5" thickBot="1">
      <c r="A72" s="49"/>
      <c r="B72" s="49"/>
      <c r="C72" s="25" t="s">
        <v>99</v>
      </c>
      <c r="E72" s="5">
        <v>461</v>
      </c>
      <c r="F72" s="55">
        <f>$E$72+$E$71</f>
        <v>1133.000000000003</v>
      </c>
    </row>
    <row r="73" spans="1:6" ht="13.5" thickBot="1">
      <c r="A73" s="49"/>
      <c r="B73" s="49"/>
      <c r="C73" s="25" t="s">
        <v>16</v>
      </c>
      <c r="E73" s="26"/>
      <c r="F73" s="55">
        <f>$F$68+$F$70-$F$72</f>
        <v>70000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100</v>
      </c>
      <c r="B75" s="49"/>
      <c r="C75" s="25"/>
      <c r="E75" s="60"/>
      <c r="F75" s="61"/>
    </row>
    <row r="76" spans="1:7" ht="13.5" thickBot="1">
      <c r="A76" s="25"/>
      <c r="B76" s="25" t="s">
        <v>17</v>
      </c>
      <c r="C76" s="25" t="s">
        <v>101</v>
      </c>
      <c r="D76" s="26"/>
      <c r="E76" s="55">
        <f>$E$16-$E$17</f>
        <v>73305</v>
      </c>
      <c r="F76" s="55">
        <f>$F$18</f>
        <v>66731.929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12.75">
      <c r="A78" s="25"/>
      <c r="B78" s="25" t="s">
        <v>20</v>
      </c>
      <c r="C78" s="25" t="s">
        <v>102</v>
      </c>
      <c r="D78" s="26"/>
      <c r="E78" s="58" t="s">
        <v>18</v>
      </c>
      <c r="F78" s="58" t="s">
        <v>19</v>
      </c>
      <c r="G78" s="26"/>
    </row>
    <row r="79" spans="1:7" ht="12.75">
      <c r="A79" s="25"/>
      <c r="B79" s="25"/>
      <c r="C79" s="25" t="s">
        <v>21</v>
      </c>
      <c r="D79" s="26"/>
      <c r="E79" s="3">
        <v>2469411</v>
      </c>
      <c r="F79" s="3">
        <v>2590350</v>
      </c>
      <c r="G79" s="26"/>
    </row>
    <row r="80" spans="1:7" ht="12.75">
      <c r="A80" s="25"/>
      <c r="B80" s="25"/>
      <c r="C80" s="25" t="s">
        <v>23</v>
      </c>
      <c r="D80" s="26"/>
      <c r="E80" s="3">
        <v>2602364.335</v>
      </c>
      <c r="F80" s="3">
        <v>2729407.9895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22</v>
      </c>
      <c r="C82" s="25" t="s">
        <v>103</v>
      </c>
      <c r="D82" s="59"/>
      <c r="E82" s="26"/>
      <c r="F82" s="59"/>
      <c r="G82" s="26"/>
    </row>
    <row r="83" spans="1:7" ht="13.5" thickBot="1">
      <c r="A83" s="25"/>
      <c r="B83" s="25"/>
      <c r="C83" s="25" t="s">
        <v>104</v>
      </c>
      <c r="D83" s="59"/>
      <c r="E83" s="61"/>
      <c r="F83" s="55">
        <f>$F$79-$E$79</f>
        <v>120939</v>
      </c>
      <c r="G83" s="61"/>
    </row>
    <row r="84" spans="1:7" ht="13.5" thickBot="1">
      <c r="A84" s="25"/>
      <c r="B84" s="25"/>
      <c r="C84" s="25" t="s">
        <v>105</v>
      </c>
      <c r="D84" s="26"/>
      <c r="E84" s="26"/>
      <c r="F84" s="55">
        <f>$F$80-$E$80</f>
        <v>127043.65450000018</v>
      </c>
      <c r="G84" s="26"/>
    </row>
    <row r="85" spans="1:7" ht="13.5" thickBot="1">
      <c r="A85" s="25"/>
      <c r="B85" s="25"/>
      <c r="C85" s="25" t="s">
        <v>106</v>
      </c>
      <c r="D85" s="59"/>
      <c r="E85" s="26"/>
      <c r="F85" s="55">
        <f>$F$84-$F$83</f>
        <v>6104.654500000179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24</v>
      </c>
      <c r="C87" s="25" t="s">
        <v>107</v>
      </c>
      <c r="D87" s="59"/>
      <c r="E87" s="57">
        <f>IF($E$79+$E$80&gt;0,E$76/(($E$79+$E$80)/2),0)</f>
        <v>0.0289070375393511</v>
      </c>
      <c r="F87" s="57">
        <f>IF($E$79+$E$80&gt;0,F$76/(($E$79+$E$80)/2),0)</f>
        <v>0.02631501775699219</v>
      </c>
      <c r="G87" s="61"/>
    </row>
    <row r="88" spans="1:7" ht="12.75">
      <c r="A88" s="25"/>
      <c r="B88" s="25" t="s">
        <v>25</v>
      </c>
      <c r="C88" s="25" t="s">
        <v>108</v>
      </c>
      <c r="D88" s="26"/>
      <c r="E88" s="57">
        <f>IF($F$79+$F$80&gt;0,(E$76+($F$80-$E$80)-($F$79-$E$79))/(($F$79+$F$80)/2),0)</f>
        <v>0.029854611678477437</v>
      </c>
      <c r="F88" s="57">
        <f>IF($F$79+$F$80&gt;0,(F$76+($F$80-$E$80)-($F$79-$E$79))/(($F$79+$F$80)/2),0)</f>
        <v>0.02738341993893825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26</v>
      </c>
      <c r="C90" s="25" t="s">
        <v>109</v>
      </c>
      <c r="D90" s="26"/>
      <c r="E90" s="59"/>
      <c r="F90" s="26"/>
      <c r="G90" s="62"/>
    </row>
    <row r="91" spans="1:7" ht="12.75">
      <c r="A91" s="25"/>
      <c r="B91" s="25"/>
      <c r="C91" s="25" t="s">
        <v>110</v>
      </c>
      <c r="D91" s="26"/>
      <c r="E91" s="68"/>
      <c r="F91" s="67">
        <v>0.0618</v>
      </c>
      <c r="G91" s="59"/>
    </row>
    <row r="92" spans="1:7" ht="12.75">
      <c r="A92" s="25"/>
      <c r="B92" s="25"/>
      <c r="C92" s="25" t="s">
        <v>111</v>
      </c>
      <c r="D92" s="26"/>
      <c r="E92" s="68"/>
      <c r="F92" s="67">
        <v>0.0599</v>
      </c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35</v>
      </c>
      <c r="C94" s="25" t="s">
        <v>37</v>
      </c>
      <c r="D94" s="26"/>
      <c r="E94" s="64"/>
      <c r="F94" s="26"/>
      <c r="G94" s="65"/>
    </row>
    <row r="95" spans="1:7" ht="12.75">
      <c r="A95" s="25"/>
      <c r="B95" s="25"/>
      <c r="C95" s="25" t="s">
        <v>112</v>
      </c>
      <c r="D95" s="26"/>
      <c r="E95" s="26"/>
      <c r="F95" s="8">
        <v>35944</v>
      </c>
      <c r="G95" s="26"/>
    </row>
    <row r="96" spans="1:7" ht="12.75">
      <c r="A96" s="25"/>
      <c r="B96" s="25"/>
      <c r="C96" s="25" t="s">
        <v>113</v>
      </c>
      <c r="D96" s="26"/>
      <c r="E96" s="26"/>
      <c r="F96" s="8">
        <v>3228</v>
      </c>
      <c r="G96" s="26"/>
    </row>
    <row r="97" spans="1:7" ht="13.5" thickBot="1">
      <c r="A97" s="25"/>
      <c r="B97" s="25"/>
      <c r="C97" s="25" t="s">
        <v>114</v>
      </c>
      <c r="D97" s="26"/>
      <c r="E97" s="61"/>
      <c r="F97" s="69">
        <v>1324</v>
      </c>
      <c r="G97" s="26"/>
    </row>
    <row r="98" spans="1:7" ht="13.5" thickBot="1">
      <c r="A98" s="25"/>
      <c r="B98" s="25"/>
      <c r="C98" s="25" t="s">
        <v>115</v>
      </c>
      <c r="D98" s="26"/>
      <c r="E98" s="61"/>
      <c r="F98" s="70">
        <f>SUM($F$95:$F$97)</f>
        <v>40496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36</v>
      </c>
      <c r="C100" s="25" t="s">
        <v>43</v>
      </c>
    </row>
    <row r="101" spans="1:6" ht="12.75">
      <c r="A101" s="25"/>
      <c r="B101" s="25"/>
      <c r="C101" s="25" t="s">
        <v>116</v>
      </c>
      <c r="F101" s="3">
        <f>$E$18</f>
        <v>6573.071</v>
      </c>
    </row>
    <row r="102" spans="1:6" ht="12.75">
      <c r="A102" s="25"/>
      <c r="B102" s="25"/>
      <c r="C102" s="25" t="s">
        <v>117</v>
      </c>
      <c r="F102" s="57">
        <f>IF($F$101&gt;0,$F$101/(($F$79+$F$80)/2),0)</f>
        <v>0.0024711917395391883</v>
      </c>
    </row>
    <row r="103" spans="1:5" ht="12.75">
      <c r="A103" s="25"/>
      <c r="B103" s="25"/>
      <c r="C103" s="25" t="s">
        <v>9</v>
      </c>
      <c r="E103" s="5">
        <v>21835.387</v>
      </c>
    </row>
    <row r="104" spans="1:6" ht="13.5" thickBot="1">
      <c r="A104" s="25"/>
      <c r="B104" s="25"/>
      <c r="C104" s="25" t="s">
        <v>118</v>
      </c>
      <c r="E104" s="5">
        <v>0</v>
      </c>
      <c r="F104" s="55">
        <f>$E$103-$E$104</f>
        <v>21835.387</v>
      </c>
    </row>
    <row r="105" spans="1:6" ht="12.75">
      <c r="A105" s="25"/>
      <c r="B105" s="25"/>
      <c r="C105" s="25" t="s">
        <v>119</v>
      </c>
      <c r="F105" s="3">
        <f>IF(F$98&gt;0,(1000*F$104)/F$98,0)</f>
        <v>539.1986122086132</v>
      </c>
    </row>
    <row r="106" spans="1:6" ht="12.75">
      <c r="A106" s="25"/>
      <c r="B106" s="25"/>
      <c r="C106" s="25" t="s">
        <v>120</v>
      </c>
      <c r="F106" s="3">
        <f>IF($F$98&gt;0,$E$14*1000/$F$98,0)</f>
        <v>566.0559067562228</v>
      </c>
    </row>
    <row r="107" spans="1:3" ht="12.75">
      <c r="A107" s="25"/>
      <c r="B107" s="25"/>
      <c r="C107" s="25"/>
    </row>
    <row r="108" spans="1:3" ht="12.75">
      <c r="A108" s="48" t="s">
        <v>144</v>
      </c>
      <c r="B108" s="25"/>
      <c r="C108" s="25"/>
    </row>
    <row r="109" spans="1:7" ht="12.75">
      <c r="A109" s="25"/>
      <c r="B109" s="50" t="s">
        <v>56</v>
      </c>
      <c r="C109" s="25"/>
      <c r="D109" s="108" t="s">
        <v>142</v>
      </c>
      <c r="E109" s="108"/>
      <c r="F109" s="108" t="s">
        <v>143</v>
      </c>
      <c r="G109" s="108"/>
    </row>
    <row r="110" spans="1:6" ht="12.75">
      <c r="A110" s="25"/>
      <c r="B110" s="25"/>
      <c r="C110" s="25" t="s">
        <v>121</v>
      </c>
      <c r="D110" s="89">
        <v>66651</v>
      </c>
      <c r="F110" s="89">
        <v>78</v>
      </c>
    </row>
    <row r="111" spans="1:6" ht="12.75">
      <c r="A111" s="25"/>
      <c r="B111" s="25"/>
      <c r="C111" s="25" t="s">
        <v>122</v>
      </c>
      <c r="D111" s="5">
        <v>63540.851</v>
      </c>
      <c r="F111" s="5">
        <v>0</v>
      </c>
    </row>
    <row r="112" spans="1:7" ht="12.75">
      <c r="A112" s="25"/>
      <c r="B112" s="25"/>
      <c r="C112" s="25" t="s">
        <v>123</v>
      </c>
      <c r="D112" s="5">
        <v>22923</v>
      </c>
      <c r="E112" s="3">
        <f>SUM($D$110:$D$112)</f>
        <v>153114.851</v>
      </c>
      <c r="F112" s="5">
        <v>0</v>
      </c>
      <c r="G112" s="3">
        <f>SUM($F$110:$F$112)</f>
        <v>78</v>
      </c>
    </row>
    <row r="113" spans="1:3" ht="12.75">
      <c r="A113" s="25"/>
      <c r="B113" s="50" t="s">
        <v>57</v>
      </c>
      <c r="C113" s="25"/>
    </row>
    <row r="114" spans="1:6" ht="12.75">
      <c r="A114" s="25"/>
      <c r="B114" s="25"/>
      <c r="C114" s="25" t="s">
        <v>124</v>
      </c>
      <c r="D114" s="5">
        <v>52594.95525</v>
      </c>
      <c r="F114" s="5">
        <v>0</v>
      </c>
    </row>
    <row r="115" spans="1:6" ht="12.75">
      <c r="A115" s="25"/>
      <c r="B115" s="25"/>
      <c r="C115" s="25" t="s">
        <v>125</v>
      </c>
      <c r="D115" s="5">
        <v>25501.2</v>
      </c>
      <c r="F115" s="5">
        <v>0</v>
      </c>
    </row>
    <row r="116" spans="1:7" ht="12.75">
      <c r="A116" s="25"/>
      <c r="B116" s="25"/>
      <c r="C116" s="25" t="s">
        <v>126</v>
      </c>
      <c r="D116" s="5">
        <v>23860.387</v>
      </c>
      <c r="E116" s="3">
        <f>SUM($D$114:$D$116)</f>
        <v>101956.54225</v>
      </c>
      <c r="F116" s="5">
        <v>0</v>
      </c>
      <c r="G116" s="3">
        <f>SUM($F$114:$F$116)</f>
        <v>0</v>
      </c>
    </row>
    <row r="117" spans="1:7" ht="14.25">
      <c r="A117" s="25"/>
      <c r="B117" s="51" t="s">
        <v>136</v>
      </c>
      <c r="C117" s="25"/>
      <c r="E117" s="3">
        <f>$E$112-$E$116</f>
        <v>51158.30875</v>
      </c>
      <c r="G117" s="3">
        <f>$G$112-$G$116</f>
        <v>78</v>
      </c>
    </row>
    <row r="118" spans="1:3" ht="12.75">
      <c r="A118" s="25"/>
      <c r="B118" s="50" t="s">
        <v>127</v>
      </c>
      <c r="C118" s="25"/>
    </row>
    <row r="119" spans="1:6" ht="12.75">
      <c r="A119" s="25"/>
      <c r="B119" s="25"/>
      <c r="C119" s="25" t="s">
        <v>128</v>
      </c>
      <c r="D119" s="5">
        <v>0</v>
      </c>
      <c r="F119" s="5">
        <v>0</v>
      </c>
    </row>
    <row r="120" spans="1:6" ht="12.75">
      <c r="A120" s="25"/>
      <c r="B120" s="25"/>
      <c r="C120" s="25" t="s">
        <v>129</v>
      </c>
      <c r="D120" s="5">
        <v>16600</v>
      </c>
      <c r="F120" s="5">
        <v>0</v>
      </c>
    </row>
    <row r="121" spans="1:6" ht="12.75">
      <c r="A121" s="25"/>
      <c r="B121" s="25"/>
      <c r="C121" s="25" t="s">
        <v>130</v>
      </c>
      <c r="D121" s="5">
        <v>0</v>
      </c>
      <c r="F121" s="5">
        <v>0</v>
      </c>
    </row>
    <row r="122" spans="1:6" ht="12.75">
      <c r="A122" s="25"/>
      <c r="B122" s="25"/>
      <c r="C122" s="25" t="s">
        <v>131</v>
      </c>
      <c r="D122" s="5">
        <v>11962.35</v>
      </c>
      <c r="F122" s="5">
        <v>0</v>
      </c>
    </row>
    <row r="123" spans="1:6" ht="12.75">
      <c r="A123" s="25"/>
      <c r="B123" s="25"/>
      <c r="C123" s="25" t="s">
        <v>132</v>
      </c>
      <c r="D123" s="5">
        <v>0</v>
      </c>
      <c r="F123" s="5">
        <v>0</v>
      </c>
    </row>
    <row r="124" spans="1:6" ht="12.75">
      <c r="A124" s="25"/>
      <c r="B124" s="25"/>
      <c r="C124" s="25" t="s">
        <v>133</v>
      </c>
      <c r="D124" s="5">
        <v>0</v>
      </c>
      <c r="F124" s="5">
        <v>0</v>
      </c>
    </row>
    <row r="125" spans="1:6" ht="12.75">
      <c r="A125" s="25"/>
      <c r="B125" s="25"/>
      <c r="C125" s="25" t="s">
        <v>134</v>
      </c>
      <c r="D125" s="5">
        <v>0</v>
      </c>
      <c r="F125" s="5">
        <v>0</v>
      </c>
    </row>
    <row r="126" spans="1:7" ht="12.75">
      <c r="A126" s="25"/>
      <c r="B126" s="25"/>
      <c r="C126" s="25" t="s">
        <v>135</v>
      </c>
      <c r="D126" s="5">
        <v>0</v>
      </c>
      <c r="E126" s="3">
        <f>SUM($D$119:$D$126)</f>
        <v>28562.35</v>
      </c>
      <c r="F126" s="5">
        <v>0</v>
      </c>
      <c r="G126" s="3">
        <f>SUM($F$119:$F$126)</f>
        <v>0</v>
      </c>
    </row>
    <row r="127" spans="1:5" ht="12.75">
      <c r="A127" s="25"/>
      <c r="B127" s="25" t="s">
        <v>58</v>
      </c>
      <c r="C127" s="25"/>
      <c r="E127" s="3">
        <v>0</v>
      </c>
    </row>
    <row r="128" spans="1:7" ht="13.5" thickBot="1">
      <c r="A128" s="25"/>
      <c r="B128" s="25" t="s">
        <v>59</v>
      </c>
      <c r="C128" s="25"/>
      <c r="E128" s="54">
        <v>10000</v>
      </c>
      <c r="G128" s="55">
        <v>0</v>
      </c>
    </row>
    <row r="129" spans="1:7" ht="13.5" thickBot="1">
      <c r="A129" s="25"/>
      <c r="B129" s="25" t="s">
        <v>12</v>
      </c>
      <c r="C129" s="25"/>
      <c r="E129" s="55">
        <f>$E$117-SUM($E$126:$E$128)</f>
        <v>12595.958749999998</v>
      </c>
      <c r="G129" s="55">
        <f>$G$117-$G$126-$G$128</f>
        <v>78</v>
      </c>
    </row>
    <row r="130" spans="1:7" ht="12.75">
      <c r="A130" s="25"/>
      <c r="B130" s="25" t="s">
        <v>64</v>
      </c>
      <c r="C130" s="25"/>
      <c r="E130" s="57">
        <f>IF(E$112&gt;0,MIN(MAX((E$116+E$126+E$127+E$128)/E$112,0.9),1),0)</f>
        <v>0.9177352251088956</v>
      </c>
      <c r="G130" s="57">
        <f>IF(G$112&gt;0,MIN((G$116+G$126+G$127+G$128)/G$112,1),0)</f>
        <v>0</v>
      </c>
    </row>
    <row r="131" spans="1:3" ht="12.75">
      <c r="A131" s="25"/>
      <c r="C131" s="25"/>
    </row>
    <row r="132" spans="1:6" ht="12.75">
      <c r="A132" s="25"/>
      <c r="B132" s="50" t="s">
        <v>60</v>
      </c>
      <c r="C132" s="25"/>
      <c r="F132" t="s">
        <v>141</v>
      </c>
    </row>
    <row r="133" spans="1:6" ht="12.75">
      <c r="A133" s="25"/>
      <c r="B133" s="25"/>
      <c r="C133" s="25" t="s">
        <v>61</v>
      </c>
      <c r="E133" s="3">
        <f>$E$129</f>
        <v>12595.958749999998</v>
      </c>
      <c r="F133" s="57">
        <f>IF($E$112&gt;0,$E$133/$E$112,0)</f>
        <v>0.08226477489110444</v>
      </c>
    </row>
    <row r="134" spans="1:6" ht="12.75">
      <c r="A134" s="25"/>
      <c r="B134" s="25"/>
      <c r="C134" s="25" t="s">
        <v>62</v>
      </c>
      <c r="E134" s="3">
        <f>$G$129</f>
        <v>78</v>
      </c>
      <c r="F134" s="57">
        <f>IF($G$112&gt;0,$E$134/$G$112,0)</f>
        <v>1</v>
      </c>
    </row>
    <row r="135" spans="2:5" ht="12.75">
      <c r="B135" s="25"/>
      <c r="C135" s="25" t="s">
        <v>87</v>
      </c>
      <c r="E135" s="3">
        <f>SUM(E133:$E$134)</f>
        <v>12673.958749999998</v>
      </c>
    </row>
    <row r="137" spans="2:3" ht="12.75">
      <c r="B137" s="53" t="s">
        <v>137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43" right="0.16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Familie Bader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Heinz Bader</dc:creator>
  <cp:keywords/>
  <dc:description/>
  <cp:lastModifiedBy>Eggenberger Stefan BPV</cp:lastModifiedBy>
  <cp:lastPrinted>2008-11-10T10:50:46Z</cp:lastPrinted>
  <dcterms:created xsi:type="dcterms:W3CDTF">2006-11-26T18:59:38Z</dcterms:created>
  <dcterms:modified xsi:type="dcterms:W3CDTF">2008-11-10T12:50:30Z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-1904703796</vt:i4>
  </property>
  <property fmtid="{D5CDD505-2E9C-101B-9397-08002B2CF9AE}" pid="3" name="_EmailSubject">
    <vt:lpwstr/>
  </property>
  <property fmtid="{D5CDD505-2E9C-101B-9397-08002B2CF9AE}" pid="4" name="_AuthorEmail">
    <vt:lpwstr>stefan.eggenberger@bpv.admin.ch</vt:lpwstr>
  </property>
  <property fmtid="{D5CDD505-2E9C-101B-9397-08002B2CF9AE}" pid="5" name="_AuthorEmailDisplayName">
    <vt:lpwstr>Eggenberger Stefan BPV</vt:lpwstr>
  </property>
  <property fmtid="{D5CDD505-2E9C-101B-9397-08002B2CF9AE}" pid="6" name="_PreviousAdHocReviewCycleID">
    <vt:i4>-1263425632</vt:i4>
  </property>
</Properties>
</file>